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C:\Dev\ReasonProducts\DFR\DR60\"/>
    </mc:Choice>
  </mc:AlternateContent>
  <xr:revisionPtr revIDLastSave="0" documentId="13_ncr:1_{B4161EB1-6AEA-45CE-8316-EEEA8E925125}" xr6:coauthVersionLast="47" xr6:coauthVersionMax="47" xr10:uidLastSave="{00000000-0000-0000-0000-000000000000}"/>
  <bookViews>
    <workbookView xWindow="-120" yWindow="-120" windowWidth="29040" windowHeight="15840" tabRatio="617" xr2:uid="{00000000-000D-0000-FFFF-FFFF00000000}"/>
  </bookViews>
  <sheets>
    <sheet name="Disclaimer" sheetId="7" r:id="rId1"/>
    <sheet name="Cortec" sheetId="12" r:id="rId2"/>
    <sheet name="Configurator" sheetId="11" r:id="rId3"/>
    <sheet name="Master Text" sheetId="10" r:id="rId4"/>
    <sheet name="Database" sheetId="9" state="hidden" r:id="rId5"/>
    <sheet name="Date Drivers" sheetId="6" state="hidden" r:id="rId6"/>
    <sheet name="Language" sheetId="13"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1" i="11" l="1"/>
  <c r="D39" i="10"/>
  <c r="M111" i="9"/>
  <c r="M110" i="9"/>
  <c r="AD1" i="6"/>
  <c r="Y1" i="6"/>
  <c r="D38" i="10" l="1"/>
  <c r="D37" i="10" l="1"/>
  <c r="C146" i="9"/>
  <c r="C147" i="9" s="1"/>
  <c r="C148" i="9" s="1"/>
  <c r="C149" i="9" s="1"/>
  <c r="C150" i="9" s="1"/>
  <c r="C151" i="9" s="1"/>
  <c r="C152" i="9" s="1"/>
  <c r="C153" i="9" s="1"/>
  <c r="C154" i="9" s="1"/>
  <c r="C155" i="9" s="1"/>
  <c r="C134" i="9"/>
  <c r="C135" i="9" s="1"/>
  <c r="C136" i="9" s="1"/>
  <c r="C137" i="9" s="1"/>
  <c r="C138" i="9" s="1"/>
  <c r="C139" i="9" s="1"/>
  <c r="C140" i="9" s="1"/>
  <c r="C141" i="9" s="1"/>
  <c r="C142" i="9" s="1"/>
  <c r="C143" i="9" s="1"/>
  <c r="C122" i="9"/>
  <c r="C123" i="9" s="1"/>
  <c r="C124" i="9" s="1"/>
  <c r="C125" i="9" s="1"/>
  <c r="C126" i="9" s="1"/>
  <c r="C127" i="9" s="1"/>
  <c r="C128" i="9" s="1"/>
  <c r="C129" i="9" s="1"/>
  <c r="C130" i="9" s="1"/>
  <c r="C131" i="9" s="1"/>
  <c r="C110" i="9"/>
  <c r="C111" i="9" s="1"/>
  <c r="C112" i="9" s="1"/>
  <c r="C113" i="9" s="1"/>
  <c r="C114" i="9" s="1"/>
  <c r="C115" i="9" s="1"/>
  <c r="C116" i="9" s="1"/>
  <c r="C117" i="9" s="1"/>
  <c r="C118" i="9" s="1"/>
  <c r="C119" i="9" s="1"/>
  <c r="C87" i="9"/>
  <c r="C88" i="9" s="1"/>
  <c r="C89" i="9" s="1"/>
  <c r="C90" i="9" s="1"/>
  <c r="C91" i="9" s="1"/>
  <c r="C92" i="9" s="1"/>
  <c r="C93" i="9" s="1"/>
  <c r="C94" i="9" s="1"/>
  <c r="C95" i="9" s="1"/>
  <c r="C96" i="9" s="1"/>
  <c r="C98" i="9" s="1"/>
  <c r="C99" i="9" s="1"/>
  <c r="C100" i="9" s="1"/>
  <c r="C101" i="9" s="1"/>
  <c r="C102" i="9" s="1"/>
  <c r="C103" i="9" s="1"/>
  <c r="C104" i="9" s="1"/>
  <c r="C105" i="9" s="1"/>
  <c r="C106" i="9" s="1"/>
  <c r="C107" i="9" s="1"/>
  <c r="C75" i="9"/>
  <c r="C76" i="9" s="1"/>
  <c r="C77" i="9" s="1"/>
  <c r="C78" i="9" s="1"/>
  <c r="C79" i="9" s="1"/>
  <c r="C80" i="9" s="1"/>
  <c r="C81" i="9" s="1"/>
  <c r="C82" i="9" s="1"/>
  <c r="C83" i="9" s="1"/>
  <c r="C84" i="9" s="1"/>
  <c r="C63" i="9"/>
  <c r="C64" i="9" s="1"/>
  <c r="C65" i="9" s="1"/>
  <c r="C66" i="9" s="1"/>
  <c r="C67" i="9" s="1"/>
  <c r="C68" i="9" s="1"/>
  <c r="C69" i="9" s="1"/>
  <c r="C70" i="9" s="1"/>
  <c r="C71" i="9" s="1"/>
  <c r="C72" i="9" s="1"/>
  <c r="C51" i="9"/>
  <c r="C52" i="9" s="1"/>
  <c r="C53" i="9" s="1"/>
  <c r="C54" i="9" s="1"/>
  <c r="C55" i="9" s="1"/>
  <c r="C56" i="9" s="1"/>
  <c r="C57" i="9" s="1"/>
  <c r="C58" i="9" s="1"/>
  <c r="C59" i="9" s="1"/>
  <c r="C60" i="9" s="1"/>
  <c r="C39" i="9"/>
  <c r="C40" i="9" s="1"/>
  <c r="C41" i="9" s="1"/>
  <c r="C42" i="9" s="1"/>
  <c r="C43" i="9" s="1"/>
  <c r="C44" i="9" s="1"/>
  <c r="C45" i="9" s="1"/>
  <c r="C46" i="9" s="1"/>
  <c r="C47" i="9" s="1"/>
  <c r="C48" i="9" s="1"/>
  <c r="C27" i="9"/>
  <c r="C28" i="9" s="1"/>
  <c r="C29" i="9" s="1"/>
  <c r="C30" i="9" s="1"/>
  <c r="C31" i="9" s="1"/>
  <c r="C32" i="9" s="1"/>
  <c r="C33" i="9" s="1"/>
  <c r="C34" i="9" s="1"/>
  <c r="C35" i="9" s="1"/>
  <c r="C36" i="9" s="1"/>
  <c r="C15" i="9"/>
  <c r="C16" i="9" s="1"/>
  <c r="C17" i="9" s="1"/>
  <c r="C18" i="9" s="1"/>
  <c r="C19" i="9" s="1"/>
  <c r="C20" i="9" s="1"/>
  <c r="C21" i="9" s="1"/>
  <c r="C22" i="9" s="1"/>
  <c r="C23" i="9" s="1"/>
  <c r="C24" i="9" s="1"/>
  <c r="C11" i="9"/>
  <c r="C12" i="9" s="1"/>
  <c r="D11" i="9"/>
  <c r="C6" i="9"/>
  <c r="C7" i="9" s="1"/>
  <c r="C8" i="9" s="1"/>
  <c r="D77" i="9" l="1"/>
  <c r="D65" i="9"/>
  <c r="D53" i="9"/>
  <c r="D41" i="9"/>
  <c r="D29" i="9"/>
  <c r="D17" i="9"/>
  <c r="T1" i="6" l="1"/>
  <c r="D36" i="10" l="1"/>
  <c r="O1" i="6"/>
  <c r="D35" i="10" l="1"/>
  <c r="K89" i="9"/>
  <c r="H97" i="9"/>
  <c r="K106" i="9"/>
  <c r="K105" i="9"/>
  <c r="K104" i="9"/>
  <c r="K103" i="9"/>
  <c r="K102" i="9"/>
  <c r="E99" i="9"/>
  <c r="I97" i="9" s="1"/>
  <c r="I1" i="6"/>
  <c r="K90" i="9"/>
  <c r="K91" i="9"/>
  <c r="K92" i="9"/>
  <c r="K93" i="9"/>
  <c r="K94" i="9"/>
  <c r="K95" i="9"/>
  <c r="K111" i="9"/>
  <c r="K112" i="9"/>
  <c r="K113" i="9"/>
  <c r="K119" i="9" s="1"/>
  <c r="K114" i="9"/>
  <c r="K115" i="9"/>
  <c r="K116" i="9"/>
  <c r="K117" i="9"/>
  <c r="K118" i="9"/>
  <c r="K110" i="9"/>
  <c r="E147" i="9"/>
  <c r="E148" i="9"/>
  <c r="E149" i="9" s="1"/>
  <c r="E150" i="9" s="1"/>
  <c r="E151" i="9" s="1"/>
  <c r="E152" i="9" s="1"/>
  <c r="E153" i="9" s="1"/>
  <c r="E154" i="9" s="1"/>
  <c r="E155" i="9" s="1"/>
  <c r="D146" i="9"/>
  <c r="D147" i="9" s="1"/>
  <c r="D148" i="9" s="1"/>
  <c r="D149" i="9" s="1"/>
  <c r="D150" i="9" s="1"/>
  <c r="D151" i="9" s="1"/>
  <c r="D152" i="9" s="1"/>
  <c r="D153" i="9" s="1"/>
  <c r="D154" i="9" s="1"/>
  <c r="D155" i="9" s="1"/>
  <c r="E135" i="9"/>
  <c r="E136" i="9"/>
  <c r="E137" i="9" s="1"/>
  <c r="E138" i="9" s="1"/>
  <c r="E139" i="9" s="1"/>
  <c r="E140" i="9" s="1"/>
  <c r="E141" i="9" s="1"/>
  <c r="E142" i="9" s="1"/>
  <c r="E143" i="9" s="1"/>
  <c r="D134" i="9"/>
  <c r="D135" i="9" s="1"/>
  <c r="D136" i="9" s="1"/>
  <c r="D137" i="9" s="1"/>
  <c r="D138" i="9" s="1"/>
  <c r="D139" i="9" s="1"/>
  <c r="D140" i="9" s="1"/>
  <c r="D141" i="9" s="1"/>
  <c r="D142" i="9" s="1"/>
  <c r="D143" i="9" s="1"/>
  <c r="E123" i="9"/>
  <c r="E124" i="9" s="1"/>
  <c r="E125" i="9" s="1"/>
  <c r="E126" i="9" s="1"/>
  <c r="E127" i="9" s="1"/>
  <c r="E128" i="9" s="1"/>
  <c r="E129" i="9" s="1"/>
  <c r="E130" i="9" s="1"/>
  <c r="E131" i="9" s="1"/>
  <c r="D122" i="9"/>
  <c r="D123" i="9" s="1"/>
  <c r="D124" i="9" s="1"/>
  <c r="D125" i="9" s="1"/>
  <c r="D126" i="9" s="1"/>
  <c r="D127" i="9" s="1"/>
  <c r="D128" i="9" s="1"/>
  <c r="D129" i="9" s="1"/>
  <c r="D130" i="9" s="1"/>
  <c r="D131" i="9" s="1"/>
  <c r="E111" i="9"/>
  <c r="D110" i="9"/>
  <c r="D111" i="9" s="1"/>
  <c r="D112" i="9" s="1"/>
  <c r="D113" i="9" s="1"/>
  <c r="D114" i="9" s="1"/>
  <c r="D115" i="9" s="1"/>
  <c r="D116" i="9" s="1"/>
  <c r="D117" i="9" s="1"/>
  <c r="D118" i="9" s="1"/>
  <c r="D119" i="9" s="1"/>
  <c r="E88" i="9"/>
  <c r="D87" i="9"/>
  <c r="D88" i="9" s="1"/>
  <c r="D89" i="9" s="1"/>
  <c r="D90" i="9" s="1"/>
  <c r="D91" i="9" s="1"/>
  <c r="D92" i="9" s="1"/>
  <c r="D93" i="9" s="1"/>
  <c r="D94" i="9" s="1"/>
  <c r="D95" i="9" s="1"/>
  <c r="D96" i="9" s="1"/>
  <c r="E28" i="9"/>
  <c r="E29" i="9"/>
  <c r="E30" i="9" s="1"/>
  <c r="E31" i="9" s="1"/>
  <c r="E32" i="9" s="1"/>
  <c r="E33" i="9" s="1"/>
  <c r="E34" i="9" s="1"/>
  <c r="E35" i="9" s="1"/>
  <c r="E36" i="9" s="1"/>
  <c r="E16" i="9"/>
  <c r="E17" i="9" s="1"/>
  <c r="E18" i="9" s="1"/>
  <c r="E19" i="9" s="1"/>
  <c r="E20" i="9" s="1"/>
  <c r="E21" i="9" s="1"/>
  <c r="E22" i="9" s="1"/>
  <c r="E23" i="9" s="1"/>
  <c r="E24" i="9" s="1"/>
  <c r="E76" i="9"/>
  <c r="E77" i="9" s="1"/>
  <c r="E64" i="9"/>
  <c r="E65" i="9" s="1"/>
  <c r="E66" i="9" s="1"/>
  <c r="E112" i="9"/>
  <c r="E113" i="9" s="1"/>
  <c r="A5" i="12"/>
  <c r="E12" i="9"/>
  <c r="E7" i="9"/>
  <c r="E8" i="9" s="1"/>
  <c r="E40" i="9"/>
  <c r="E41" i="9" s="1"/>
  <c r="E42" i="9"/>
  <c r="E43" i="9" s="1"/>
  <c r="E44" i="9" s="1"/>
  <c r="E45" i="9" s="1"/>
  <c r="E46" i="9" s="1"/>
  <c r="E47" i="9" s="1"/>
  <c r="E48" i="9" s="1"/>
  <c r="E52" i="9"/>
  <c r="E53" i="9" s="1"/>
  <c r="E54" i="9" s="1"/>
  <c r="E55" i="9" s="1"/>
  <c r="E56" i="9" s="1"/>
  <c r="E57" i="9" s="1"/>
  <c r="D12" i="9"/>
  <c r="L2" i="9"/>
  <c r="C3" i="13"/>
  <c r="B3" i="13"/>
  <c r="C1" i="6"/>
  <c r="I86" i="9"/>
  <c r="H86" i="9"/>
  <c r="K88" i="9"/>
  <c r="M88" i="9" s="1"/>
  <c r="A21" i="10" s="1"/>
  <c r="M89" i="9"/>
  <c r="A22" i="10" s="1"/>
  <c r="M100" i="9"/>
  <c r="L1" i="9"/>
  <c r="AD97" i="6" l="1"/>
  <c r="AD77" i="6"/>
  <c r="AD66" i="6"/>
  <c r="AD55" i="6"/>
  <c r="AD44" i="6"/>
  <c r="AD29" i="6"/>
  <c r="AD14" i="6"/>
  <c r="C39" i="10"/>
  <c r="AD96" i="6"/>
  <c r="AD76" i="6"/>
  <c r="AD65" i="6"/>
  <c r="AD54" i="6"/>
  <c r="AD43" i="6"/>
  <c r="AD28" i="6"/>
  <c r="AD13" i="6"/>
  <c r="AD95" i="6"/>
  <c r="AD75" i="6"/>
  <c r="AD64" i="6"/>
  <c r="AD53" i="6"/>
  <c r="AD42" i="6"/>
  <c r="AD27" i="6"/>
  <c r="AD12" i="6"/>
  <c r="AD85" i="6"/>
  <c r="AD74" i="6"/>
  <c r="AD63" i="6"/>
  <c r="AD52" i="6"/>
  <c r="AD41" i="6"/>
  <c r="AD26" i="6"/>
  <c r="AD11" i="6"/>
  <c r="AD105" i="6"/>
  <c r="AD79" i="6"/>
  <c r="AD68" i="6"/>
  <c r="AD57" i="6"/>
  <c r="AD49" i="6"/>
  <c r="AD38" i="6"/>
  <c r="AD16" i="6"/>
  <c r="AD5" i="6"/>
  <c r="AD4" i="6" s="1"/>
  <c r="AD135" i="6"/>
  <c r="AD98" i="6"/>
  <c r="AD78" i="6"/>
  <c r="AD67" i="6"/>
  <c r="AD56" i="6"/>
  <c r="AD45" i="6"/>
  <c r="AD37" i="6"/>
  <c r="AD15" i="6"/>
  <c r="AD125" i="6"/>
  <c r="AD81" i="6"/>
  <c r="AD73" i="6"/>
  <c r="AD62" i="6"/>
  <c r="AD51" i="6"/>
  <c r="AD40" i="6"/>
  <c r="AD25" i="6"/>
  <c r="AD7" i="6"/>
  <c r="AD115" i="6"/>
  <c r="AD80" i="6"/>
  <c r="AD69" i="6"/>
  <c r="AD61" i="6"/>
  <c r="AD50" i="6"/>
  <c r="AD39" i="6"/>
  <c r="AD17" i="6"/>
  <c r="AD6" i="6"/>
  <c r="Y115" i="6"/>
  <c r="Y80" i="6"/>
  <c r="Y69" i="6"/>
  <c r="Y61" i="6"/>
  <c r="Y50" i="6"/>
  <c r="Y39" i="6"/>
  <c r="Y17" i="6"/>
  <c r="Y6" i="6"/>
  <c r="Y105" i="6"/>
  <c r="Y79" i="6"/>
  <c r="Y68" i="6"/>
  <c r="Y57" i="6"/>
  <c r="Y49" i="6"/>
  <c r="Y38" i="6"/>
  <c r="Y16" i="6"/>
  <c r="Y5" i="6"/>
  <c r="Y4" i="6" s="1"/>
  <c r="Y98" i="6"/>
  <c r="Y78" i="6"/>
  <c r="Y67" i="6"/>
  <c r="Y56" i="6"/>
  <c r="Y45" i="6"/>
  <c r="Y37" i="6"/>
  <c r="Y15" i="6"/>
  <c r="Y97" i="6"/>
  <c r="Y77" i="6"/>
  <c r="Y66" i="6"/>
  <c r="Y55" i="6"/>
  <c r="Y44" i="6"/>
  <c r="Y29" i="6"/>
  <c r="Y14" i="6"/>
  <c r="C38" i="10"/>
  <c r="Y96" i="6"/>
  <c r="Y76" i="6"/>
  <c r="Y65" i="6"/>
  <c r="Y54" i="6"/>
  <c r="Y43" i="6"/>
  <c r="Y28" i="6"/>
  <c r="Y13" i="6"/>
  <c r="Y136" i="6"/>
  <c r="Y95" i="6"/>
  <c r="Y75" i="6"/>
  <c r="Y64" i="6"/>
  <c r="Y53" i="6"/>
  <c r="Y42" i="6"/>
  <c r="Y27" i="6"/>
  <c r="Y12" i="6"/>
  <c r="Y135" i="6"/>
  <c r="Y85" i="6"/>
  <c r="Y74" i="6"/>
  <c r="Y63" i="6"/>
  <c r="Y52" i="6"/>
  <c r="Y41" i="6"/>
  <c r="Y26" i="6"/>
  <c r="Y11" i="6"/>
  <c r="Y125" i="6"/>
  <c r="Y81" i="6"/>
  <c r="Y73" i="6"/>
  <c r="Y62" i="6"/>
  <c r="Y51" i="6"/>
  <c r="Y40" i="6"/>
  <c r="Y25" i="6"/>
  <c r="Y7" i="6"/>
  <c r="D98" i="9"/>
  <c r="D99" i="9" s="1"/>
  <c r="D100" i="9" s="1"/>
  <c r="D101" i="9" s="1"/>
  <c r="D102" i="9" s="1"/>
  <c r="D103" i="9" s="1"/>
  <c r="D104" i="9" s="1"/>
  <c r="D105" i="9" s="1"/>
  <c r="D106" i="9" s="1"/>
  <c r="D107" i="9" s="1"/>
  <c r="I14" i="6"/>
  <c r="C37" i="10"/>
  <c r="T28" i="6"/>
  <c r="T80" i="6"/>
  <c r="T68" i="6"/>
  <c r="T56" i="6"/>
  <c r="T38" i="6"/>
  <c r="T27" i="6"/>
  <c r="T25" i="6"/>
  <c r="T77" i="6"/>
  <c r="T51" i="6"/>
  <c r="T69" i="6"/>
  <c r="T40" i="6"/>
  <c r="T79" i="6"/>
  <c r="T67" i="6"/>
  <c r="T55" i="6"/>
  <c r="T37" i="6"/>
  <c r="T26" i="6"/>
  <c r="T53" i="6"/>
  <c r="T42" i="6"/>
  <c r="T75" i="6"/>
  <c r="T81" i="6"/>
  <c r="T29" i="6"/>
  <c r="T52" i="6"/>
  <c r="T78" i="6"/>
  <c r="T66" i="6"/>
  <c r="T54" i="6"/>
  <c r="T41" i="6"/>
  <c r="T64" i="6"/>
  <c r="T65" i="6"/>
  <c r="T76" i="6"/>
  <c r="T63" i="6"/>
  <c r="T43" i="6"/>
  <c r="T57" i="6"/>
  <c r="T136" i="6"/>
  <c r="T74" i="6"/>
  <c r="T62" i="6"/>
  <c r="T50" i="6"/>
  <c r="T44" i="6"/>
  <c r="T135" i="6"/>
  <c r="T73" i="6"/>
  <c r="T61" i="6"/>
  <c r="T49" i="6"/>
  <c r="T45" i="6"/>
  <c r="T16" i="6"/>
  <c r="T39" i="6"/>
  <c r="T17" i="6"/>
  <c r="T85" i="6"/>
  <c r="T14" i="6"/>
  <c r="T115" i="6"/>
  <c r="T13" i="6"/>
  <c r="T105" i="6"/>
  <c r="T12" i="6"/>
  <c r="T98" i="6"/>
  <c r="T96" i="6"/>
  <c r="T5" i="6"/>
  <c r="T4" i="6" s="1"/>
  <c r="T125" i="6"/>
  <c r="T11" i="6"/>
  <c r="T7" i="6"/>
  <c r="T6" i="6"/>
  <c r="T95" i="6"/>
  <c r="T97" i="6"/>
  <c r="T15" i="6"/>
  <c r="B13" i="6"/>
  <c r="B14" i="9" s="1"/>
  <c r="A8" i="11" s="1"/>
  <c r="B11" i="6"/>
  <c r="B10" i="9" s="1"/>
  <c r="A5" i="10" s="1"/>
  <c r="B3" i="7"/>
  <c r="C15" i="6"/>
  <c r="B125" i="6"/>
  <c r="B133" i="9" s="1"/>
  <c r="A30" i="11" s="1"/>
  <c r="C49" i="6"/>
  <c r="C64" i="6"/>
  <c r="I5" i="6"/>
  <c r="I4" i="6" s="1"/>
  <c r="I26" i="6"/>
  <c r="I53" i="6"/>
  <c r="C34" i="10"/>
  <c r="C43" i="6"/>
  <c r="I11" i="6"/>
  <c r="I79" i="6"/>
  <c r="A3" i="12"/>
  <c r="D3" i="12"/>
  <c r="B4" i="7"/>
  <c r="C135" i="6"/>
  <c r="C52" i="6"/>
  <c r="C54" i="6"/>
  <c r="I50" i="6"/>
  <c r="I73" i="6"/>
  <c r="I135" i="6"/>
  <c r="I115" i="6"/>
  <c r="C26" i="6"/>
  <c r="B4" i="6"/>
  <c r="C7" i="6"/>
  <c r="C75" i="6"/>
  <c r="I42" i="6"/>
  <c r="I61" i="6"/>
  <c r="C25" i="6"/>
  <c r="C27" i="6"/>
  <c r="A33" i="10"/>
  <c r="C39" i="6"/>
  <c r="C115" i="6"/>
  <c r="C74" i="6"/>
  <c r="C12" i="6"/>
  <c r="I76" i="6"/>
  <c r="I95" i="6"/>
  <c r="O125" i="6"/>
  <c r="C36" i="10"/>
  <c r="O115" i="6"/>
  <c r="O96" i="6"/>
  <c r="O78" i="6"/>
  <c r="O74" i="6"/>
  <c r="O65" i="6"/>
  <c r="O61" i="6"/>
  <c r="O52" i="6"/>
  <c r="O43" i="6"/>
  <c r="O39" i="6"/>
  <c r="O26" i="6"/>
  <c r="O13" i="6"/>
  <c r="O6" i="6"/>
  <c r="O105" i="6"/>
  <c r="O95" i="6"/>
  <c r="O77" i="6"/>
  <c r="O73" i="6"/>
  <c r="O64" i="6"/>
  <c r="O55" i="6"/>
  <c r="O51" i="6"/>
  <c r="O42" i="6"/>
  <c r="O38" i="6"/>
  <c r="O25" i="6"/>
  <c r="O12" i="6"/>
  <c r="O5" i="6"/>
  <c r="O4" i="6" s="1"/>
  <c r="O135" i="6"/>
  <c r="O98" i="6"/>
  <c r="O85" i="6"/>
  <c r="O76" i="6"/>
  <c r="O67" i="6"/>
  <c r="O63" i="6"/>
  <c r="O54" i="6"/>
  <c r="O50" i="6"/>
  <c r="O41" i="6"/>
  <c r="O37" i="6"/>
  <c r="O15" i="6"/>
  <c r="O11" i="6"/>
  <c r="O97" i="6"/>
  <c r="O79" i="6"/>
  <c r="O75" i="6"/>
  <c r="O66" i="6"/>
  <c r="O62" i="6"/>
  <c r="O53" i="6"/>
  <c r="O49" i="6"/>
  <c r="O40" i="6"/>
  <c r="O27" i="6"/>
  <c r="O14" i="6"/>
  <c r="O7" i="6"/>
  <c r="C53" i="6"/>
  <c r="C42" i="6"/>
  <c r="I15" i="6"/>
  <c r="I105" i="6"/>
  <c r="I51" i="6"/>
  <c r="I39" i="6"/>
  <c r="C86" i="6"/>
  <c r="I62" i="6"/>
  <c r="C85" i="6"/>
  <c r="B61" i="6"/>
  <c r="B62" i="9" s="1"/>
  <c r="A15" i="10" s="1"/>
  <c r="B11" i="7"/>
  <c r="C13" i="6"/>
  <c r="B37" i="6"/>
  <c r="B38" i="9" s="1"/>
  <c r="A11" i="10" s="1"/>
  <c r="B25" i="6"/>
  <c r="B26" i="9" s="1"/>
  <c r="A22" i="12" s="1"/>
  <c r="C38" i="6"/>
  <c r="C5" i="6"/>
  <c r="C4" i="6" s="1"/>
  <c r="C125" i="6"/>
  <c r="C6" i="6"/>
  <c r="C61" i="6"/>
  <c r="C105" i="6"/>
  <c r="C62" i="6"/>
  <c r="C41" i="6"/>
  <c r="C67" i="6"/>
  <c r="C51" i="6"/>
  <c r="C77" i="6"/>
  <c r="I37" i="6"/>
  <c r="I63" i="6"/>
  <c r="C95" i="6"/>
  <c r="I25" i="6"/>
  <c r="I55" i="6"/>
  <c r="I125" i="6"/>
  <c r="I6" i="6"/>
  <c r="I43" i="6"/>
  <c r="I74" i="6"/>
  <c r="C96" i="6"/>
  <c r="I40" i="6"/>
  <c r="I66" i="6"/>
  <c r="I96" i="6"/>
  <c r="B105" i="6"/>
  <c r="B109" i="9" s="1"/>
  <c r="A23" i="10" s="1"/>
  <c r="C78" i="6"/>
  <c r="C79" i="6"/>
  <c r="C63" i="6"/>
  <c r="C73" i="6"/>
  <c r="I54" i="6"/>
  <c r="I12" i="6"/>
  <c r="I77" i="6"/>
  <c r="I97" i="6"/>
  <c r="I65" i="6"/>
  <c r="I27" i="6"/>
  <c r="I98" i="6"/>
  <c r="C14" i="6"/>
  <c r="B73" i="6"/>
  <c r="B74" i="9" s="1"/>
  <c r="A17" i="10" s="1"/>
  <c r="C37" i="6"/>
  <c r="B49" i="6"/>
  <c r="B50" i="9" s="1"/>
  <c r="A40" i="12" s="1"/>
  <c r="B85" i="6"/>
  <c r="B86" i="9" s="1"/>
  <c r="A19" i="10" s="1"/>
  <c r="B6" i="7"/>
  <c r="B6" i="6"/>
  <c r="B5" i="9" s="1"/>
  <c r="A4" i="11" s="1"/>
  <c r="A1" i="12"/>
  <c r="B135" i="6"/>
  <c r="B145" i="9" s="1"/>
  <c r="A32" i="11" s="1"/>
  <c r="B115" i="6"/>
  <c r="B121" i="9" s="1"/>
  <c r="A28" i="11" s="1"/>
  <c r="C11" i="6"/>
  <c r="C65" i="6"/>
  <c r="C40" i="6"/>
  <c r="C66" i="6"/>
  <c r="C50" i="6"/>
  <c r="C76" i="6"/>
  <c r="C55" i="6"/>
  <c r="I85" i="6"/>
  <c r="I41" i="6"/>
  <c r="I67" i="6"/>
  <c r="C97" i="6"/>
  <c r="I38" i="6"/>
  <c r="I64" i="6"/>
  <c r="C87" i="6"/>
  <c r="I13" i="6"/>
  <c r="I52" i="6"/>
  <c r="I78" i="6"/>
  <c r="I7" i="6"/>
  <c r="I49" i="6"/>
  <c r="I75" i="6"/>
  <c r="C35" i="10"/>
  <c r="E58" i="9"/>
  <c r="E59" i="9" s="1"/>
  <c r="E60" i="9" s="1"/>
  <c r="E78" i="9"/>
  <c r="E67" i="9"/>
  <c r="M99" i="9"/>
  <c r="E114" i="9"/>
  <c r="A91" i="12"/>
  <c r="Q91" i="12"/>
  <c r="F94" i="9"/>
  <c r="F96" i="9"/>
  <c r="H122" i="9"/>
  <c r="H94" i="9"/>
  <c r="H112" i="9"/>
  <c r="G99" i="9"/>
  <c r="H142" i="9"/>
  <c r="A24" i="12"/>
  <c r="H101" i="9"/>
  <c r="F125" i="9"/>
  <c r="G16" i="12"/>
  <c r="H114" i="9"/>
  <c r="F13" i="12"/>
  <c r="A58" i="12"/>
  <c r="K58" i="12"/>
  <c r="H2" i="9"/>
  <c r="K59" i="12"/>
  <c r="A55" i="12"/>
  <c r="H93" i="9"/>
  <c r="F128" i="9"/>
  <c r="A74" i="12"/>
  <c r="G96" i="9"/>
  <c r="K53" i="12"/>
  <c r="H27" i="12"/>
  <c r="F92" i="9"/>
  <c r="G131" i="9"/>
  <c r="H153" i="9"/>
  <c r="F87" i="9"/>
  <c r="H136" i="9"/>
  <c r="H150" i="9"/>
  <c r="H151" i="9"/>
  <c r="A33" i="12"/>
  <c r="A68" i="12"/>
  <c r="G98" i="9"/>
  <c r="F89" i="9"/>
  <c r="H105" i="9"/>
  <c r="F100" i="9"/>
  <c r="A41" i="12"/>
  <c r="A17" i="12"/>
  <c r="F150" i="9"/>
  <c r="H106" i="9"/>
  <c r="G88" i="9"/>
  <c r="H135" i="9"/>
  <c r="A20" i="12"/>
  <c r="A53" i="12"/>
  <c r="G124" i="9"/>
  <c r="F99" i="9"/>
  <c r="J45" i="12"/>
  <c r="H126" i="9"/>
  <c r="G18" i="12"/>
  <c r="I32" i="12"/>
  <c r="I146" i="9"/>
  <c r="H92" i="9"/>
  <c r="A56" i="12"/>
  <c r="A75" i="12"/>
  <c r="J49" i="12"/>
  <c r="G105" i="9"/>
  <c r="H111" i="9"/>
  <c r="G100" i="9"/>
  <c r="A26" i="12"/>
  <c r="A23" i="12"/>
  <c r="G126" i="9"/>
  <c r="I11" i="9"/>
  <c r="A44" i="12"/>
  <c r="J48" i="12"/>
  <c r="A81" i="12"/>
  <c r="G152" i="9"/>
  <c r="A18" i="12"/>
  <c r="H155" i="9"/>
  <c r="G149" i="9"/>
  <c r="L70" i="12"/>
  <c r="J44" i="12"/>
  <c r="G116" i="9"/>
  <c r="G154" i="9"/>
  <c r="F138" i="9"/>
  <c r="F141" i="9"/>
  <c r="G112" i="9"/>
  <c r="A52" i="12"/>
  <c r="H119" i="9"/>
  <c r="G95" i="9"/>
  <c r="A42" i="12"/>
  <c r="F151" i="9"/>
  <c r="H99" i="9"/>
  <c r="G138" i="9"/>
  <c r="F102" i="9"/>
  <c r="F104" i="9"/>
  <c r="G128" i="9"/>
  <c r="F2" i="9"/>
  <c r="H26" i="12"/>
  <c r="A19" i="12"/>
  <c r="G104" i="9"/>
  <c r="A57" i="12"/>
  <c r="F127" i="9"/>
  <c r="G137" i="9"/>
  <c r="A67" i="12"/>
  <c r="A16" i="12"/>
  <c r="F136" i="9"/>
  <c r="I134" i="9"/>
  <c r="H116" i="9"/>
  <c r="G90" i="9"/>
  <c r="F142" i="9"/>
  <c r="A60" i="12"/>
  <c r="H117" i="9"/>
  <c r="F3" i="9"/>
  <c r="H96" i="9"/>
  <c r="I38" i="12"/>
  <c r="A47" i="12"/>
  <c r="G134" i="9"/>
  <c r="G122" i="9"/>
  <c r="J43" i="12"/>
  <c r="F114" i="9"/>
  <c r="F129" i="9"/>
  <c r="F91" i="9"/>
  <c r="A84" i="12"/>
  <c r="J42" i="12"/>
  <c r="H137" i="9"/>
  <c r="A65" i="12"/>
  <c r="K55" i="12"/>
  <c r="F134" i="9"/>
  <c r="L65" i="12"/>
  <c r="A64" i="12"/>
  <c r="E8" i="12"/>
  <c r="F147" i="9"/>
  <c r="A54" i="12"/>
  <c r="H139" i="9"/>
  <c r="H12" i="9"/>
  <c r="H147" i="9"/>
  <c r="A59" i="12"/>
  <c r="F101" i="9"/>
  <c r="N81" i="12"/>
  <c r="G87" i="9"/>
  <c r="F117" i="9"/>
  <c r="H87" i="9"/>
  <c r="G92" i="9"/>
  <c r="F146" i="9"/>
  <c r="F131" i="9"/>
  <c r="H141" i="9"/>
  <c r="H102" i="9"/>
  <c r="A9" i="12"/>
  <c r="F139" i="9"/>
  <c r="F12" i="12"/>
  <c r="A35" i="12"/>
  <c r="I122" i="9"/>
  <c r="A34" i="12"/>
  <c r="H140" i="9"/>
  <c r="H154" i="9"/>
  <c r="F90" i="9"/>
  <c r="G12" i="9"/>
  <c r="F137" i="9"/>
  <c r="F88" i="9"/>
  <c r="F148" i="9"/>
  <c r="G101" i="9"/>
  <c r="H107" i="9"/>
  <c r="A49" i="12"/>
  <c r="G155" i="9"/>
  <c r="A13" i="12"/>
  <c r="F149" i="9"/>
  <c r="A43" i="12"/>
  <c r="H125" i="9"/>
  <c r="L68" i="12"/>
  <c r="H89" i="9"/>
  <c r="G129" i="9"/>
  <c r="H11" i="9"/>
  <c r="F112" i="9"/>
  <c r="A38" i="12"/>
  <c r="A71" i="12"/>
  <c r="A30" i="12"/>
  <c r="H88" i="9"/>
  <c r="H134" i="9"/>
  <c r="I33" i="12"/>
  <c r="A76" i="12"/>
  <c r="G19" i="12"/>
  <c r="H148" i="9"/>
  <c r="F154" i="9"/>
  <c r="F11" i="9"/>
  <c r="H146" i="9"/>
  <c r="I30" i="12"/>
  <c r="A37" i="12"/>
  <c r="G135" i="9"/>
  <c r="H138" i="9"/>
  <c r="H128" i="9"/>
  <c r="G125" i="9"/>
  <c r="G139" i="9"/>
  <c r="A36" i="12"/>
  <c r="F95" i="9"/>
  <c r="G153" i="9"/>
  <c r="F115" i="9"/>
  <c r="F116" i="9"/>
  <c r="H90" i="9"/>
  <c r="A78" i="12"/>
  <c r="H98" i="9"/>
  <c r="H123" i="9"/>
  <c r="G110" i="9"/>
  <c r="A32" i="12"/>
  <c r="F106" i="9"/>
  <c r="A8" i="12"/>
  <c r="G151" i="9"/>
  <c r="H24" i="12"/>
  <c r="H130" i="9"/>
  <c r="F111" i="9"/>
  <c r="G150" i="9"/>
  <c r="K56" i="12"/>
  <c r="J47" i="12"/>
  <c r="F122" i="9"/>
  <c r="F98" i="9"/>
  <c r="H129" i="9"/>
  <c r="A27" i="12"/>
  <c r="G123" i="9"/>
  <c r="F105" i="9"/>
  <c r="H115" i="9"/>
  <c r="G117" i="9"/>
  <c r="A63" i="12"/>
  <c r="G114" i="9"/>
  <c r="G146" i="9"/>
  <c r="H23" i="12"/>
  <c r="L64" i="12"/>
  <c r="J41" i="12"/>
  <c r="G136" i="9"/>
  <c r="K54" i="12"/>
  <c r="E9" i="12"/>
  <c r="F155" i="9"/>
  <c r="G142" i="9"/>
  <c r="G17" i="12"/>
  <c r="H91" i="9"/>
  <c r="F118" i="9"/>
  <c r="G111" i="9"/>
  <c r="F110" i="9"/>
  <c r="A12" i="12"/>
  <c r="G11" i="9"/>
  <c r="H25" i="12"/>
  <c r="G93" i="9"/>
  <c r="F119" i="9"/>
  <c r="G106" i="9"/>
  <c r="G130" i="9"/>
  <c r="A25" i="12"/>
  <c r="G115" i="9"/>
  <c r="K60" i="12"/>
  <c r="G91" i="9"/>
  <c r="F103" i="9"/>
  <c r="G102" i="9"/>
  <c r="G103" i="9"/>
  <c r="L69" i="12"/>
  <c r="F113" i="9"/>
  <c r="I110" i="9"/>
  <c r="I31" i="12"/>
  <c r="G119" i="9"/>
  <c r="H149" i="9"/>
  <c r="G89" i="9"/>
  <c r="H131" i="9"/>
  <c r="H124" i="9"/>
  <c r="F130" i="9"/>
  <c r="I35" i="12"/>
  <c r="I36" i="12"/>
  <c r="K52" i="12"/>
  <c r="L63" i="12"/>
  <c r="G143" i="9"/>
  <c r="F123" i="9"/>
  <c r="A48" i="12"/>
  <c r="H113" i="9"/>
  <c r="G107" i="9"/>
  <c r="F152" i="9"/>
  <c r="G127" i="9"/>
  <c r="G147" i="9"/>
  <c r="F12" i="9"/>
  <c r="G118" i="9"/>
  <c r="F153" i="9"/>
  <c r="G148" i="9"/>
  <c r="G140" i="9"/>
  <c r="H110" i="9"/>
  <c r="F93" i="9"/>
  <c r="H100" i="9"/>
  <c r="L66" i="12"/>
  <c r="L67" i="12"/>
  <c r="F135" i="9"/>
  <c r="F143" i="9"/>
  <c r="H103" i="9"/>
  <c r="I34" i="12"/>
  <c r="A70" i="12"/>
  <c r="A66" i="12"/>
  <c r="I37" i="12"/>
  <c r="G113" i="9"/>
  <c r="F124" i="9"/>
  <c r="A77" i="12"/>
  <c r="H95" i="9"/>
  <c r="H104" i="9"/>
  <c r="K57" i="12"/>
  <c r="I2" i="9"/>
  <c r="H127" i="9"/>
  <c r="L71" i="12"/>
  <c r="G141" i="9"/>
  <c r="H152" i="9"/>
  <c r="F140" i="9"/>
  <c r="A69" i="12"/>
  <c r="J46" i="12"/>
  <c r="F107" i="9"/>
  <c r="H118" i="9"/>
  <c r="A45" i="12"/>
  <c r="F126" i="9"/>
  <c r="A46" i="12"/>
  <c r="G94" i="9"/>
  <c r="G20" i="12"/>
  <c r="A31" i="12"/>
  <c r="H143" i="9"/>
  <c r="F145" i="9" l="1"/>
  <c r="G145" i="9"/>
  <c r="G33" i="11" s="1"/>
  <c r="A27" i="10"/>
  <c r="A29" i="12"/>
  <c r="A86" i="12"/>
  <c r="K87" i="9"/>
  <c r="A15" i="12"/>
  <c r="A12" i="11"/>
  <c r="A7" i="10"/>
  <c r="A16" i="11"/>
  <c r="A11" i="12"/>
  <c r="A6" i="11"/>
  <c r="A14" i="11"/>
  <c r="A13" i="10"/>
  <c r="A51" i="12"/>
  <c r="A3" i="10"/>
  <c r="A9" i="10"/>
  <c r="A10" i="11"/>
  <c r="A7" i="12"/>
  <c r="A80" i="12"/>
  <c r="A20" i="11"/>
  <c r="A18" i="11"/>
  <c r="A25" i="10"/>
  <c r="A83" i="12"/>
  <c r="A62" i="12"/>
  <c r="A29" i="10"/>
  <c r="A89" i="12"/>
  <c r="A26" i="11"/>
  <c r="A73" i="12"/>
  <c r="K101" i="9"/>
  <c r="K100" i="9"/>
  <c r="K99" i="9"/>
  <c r="K98" i="9"/>
  <c r="I121" i="9"/>
  <c r="I133" i="9"/>
  <c r="O84" i="12"/>
  <c r="G121" i="9"/>
  <c r="G29" i="11" s="1"/>
  <c r="R3" i="11" s="1"/>
  <c r="B21" i="11"/>
  <c r="D6" i="12"/>
  <c r="H10" i="9"/>
  <c r="H109" i="9"/>
  <c r="I109" i="9"/>
  <c r="S27" i="11" s="1"/>
  <c r="B23" i="11"/>
  <c r="H145" i="9"/>
  <c r="A1" i="11"/>
  <c r="A6" i="12"/>
  <c r="A2" i="10"/>
  <c r="A87" i="12"/>
  <c r="F133" i="9"/>
  <c r="A28" i="10" s="1"/>
  <c r="F10" i="9"/>
  <c r="A6" i="10" s="1"/>
  <c r="G10" i="9"/>
  <c r="G7" i="11" s="1"/>
  <c r="H3" i="11" s="1"/>
  <c r="B22" i="11"/>
  <c r="B25" i="11"/>
  <c r="F121" i="9"/>
  <c r="A26" i="10" s="1"/>
  <c r="G133" i="9"/>
  <c r="G31" i="11" s="1"/>
  <c r="S3" i="11" s="1"/>
  <c r="P87" i="12"/>
  <c r="F109" i="9"/>
  <c r="A24" i="10" s="1"/>
  <c r="I10" i="9"/>
  <c r="S7" i="11" s="1"/>
  <c r="H133" i="9"/>
  <c r="H121" i="9"/>
  <c r="G109" i="9"/>
  <c r="G27" i="11" s="1"/>
  <c r="Q3" i="11" s="1"/>
  <c r="B24" i="11"/>
  <c r="E68" i="9"/>
  <c r="E69" i="9" s="1"/>
  <c r="E70" i="9" s="1"/>
  <c r="E71" i="9" s="1"/>
  <c r="E72" i="9" s="1"/>
  <c r="E115" i="9"/>
  <c r="E79" i="9"/>
  <c r="M98" i="9" l="1"/>
  <c r="M87" i="9"/>
  <c r="A20" i="10" s="1"/>
  <c r="D6" i="9"/>
  <c r="A30" i="10"/>
  <c r="D75" i="9"/>
  <c r="D51" i="9"/>
  <c r="D63" i="9"/>
  <c r="D39" i="9"/>
  <c r="D27" i="9"/>
  <c r="D15" i="9"/>
  <c r="T3" i="11"/>
  <c r="K107" i="9"/>
  <c r="G97" i="9" s="1"/>
  <c r="G22" i="11" s="1"/>
  <c r="P3" i="11" s="1"/>
  <c r="K96" i="9"/>
  <c r="G86" i="9" s="1"/>
  <c r="G21" i="11" s="1"/>
  <c r="O3" i="11" s="1"/>
  <c r="E116" i="9"/>
  <c r="E80" i="9"/>
  <c r="F6" i="9"/>
  <c r="H6" i="9"/>
  <c r="F15" i="9"/>
  <c r="G6" i="9"/>
  <c r="G75" i="9"/>
  <c r="D7" i="9" l="1"/>
  <c r="D8" i="9" s="1"/>
  <c r="G5" i="9"/>
  <c r="G5" i="11" s="1"/>
  <c r="G3" i="11" s="1"/>
  <c r="H5" i="9"/>
  <c r="F5" i="9"/>
  <c r="A4" i="10" s="1"/>
  <c r="D16" i="9"/>
  <c r="D64" i="9"/>
  <c r="D40" i="9"/>
  <c r="E81" i="9"/>
  <c r="E117" i="9"/>
  <c r="I147" i="9"/>
  <c r="I27" i="9"/>
  <c r="I67" i="9"/>
  <c r="I17" i="9"/>
  <c r="G63" i="9"/>
  <c r="I51" i="9"/>
  <c r="G27" i="9"/>
  <c r="I71" i="9"/>
  <c r="F40" i="9"/>
  <c r="G8" i="9"/>
  <c r="I16" i="9"/>
  <c r="I70" i="9"/>
  <c r="I44" i="9"/>
  <c r="I30" i="9"/>
  <c r="F63" i="9"/>
  <c r="I75" i="9"/>
  <c r="I6" i="9"/>
  <c r="I63" i="9"/>
  <c r="I46" i="9"/>
  <c r="I19" i="9"/>
  <c r="I39" i="9"/>
  <c r="H15" i="9"/>
  <c r="H39" i="9"/>
  <c r="I28" i="9"/>
  <c r="G15" i="9"/>
  <c r="I42" i="9"/>
  <c r="I43" i="9"/>
  <c r="I69" i="9"/>
  <c r="G7" i="9"/>
  <c r="F51" i="9"/>
  <c r="I66" i="9"/>
  <c r="I65" i="9"/>
  <c r="I31" i="9"/>
  <c r="H7" i="9"/>
  <c r="H63" i="9"/>
  <c r="F75" i="9"/>
  <c r="G39" i="9"/>
  <c r="H8" i="9"/>
  <c r="I45" i="9"/>
  <c r="I7" i="9"/>
  <c r="H75" i="9"/>
  <c r="I64" i="9"/>
  <c r="I29" i="9"/>
  <c r="I68" i="9"/>
  <c r="I15" i="9"/>
  <c r="F39" i="9"/>
  <c r="F8" i="9"/>
  <c r="H51" i="9"/>
  <c r="G16" i="9"/>
  <c r="H40" i="9"/>
  <c r="I47" i="9"/>
  <c r="I41" i="9"/>
  <c r="I40" i="9"/>
  <c r="I18" i="9"/>
  <c r="F7" i="9"/>
  <c r="F27" i="9"/>
  <c r="G51" i="9"/>
  <c r="I8" i="9"/>
  <c r="H27" i="9"/>
  <c r="F16" i="9"/>
  <c r="H64" i="9"/>
  <c r="I145" i="9" l="1"/>
  <c r="I14" i="9"/>
  <c r="S9" i="11" s="1"/>
  <c r="I26" i="9"/>
  <c r="S11" i="11" s="1"/>
  <c r="I62" i="9"/>
  <c r="S17" i="11" s="1"/>
  <c r="I38" i="9"/>
  <c r="S13" i="11" s="1"/>
  <c r="I5" i="9"/>
  <c r="S5" i="11" s="1"/>
  <c r="D76" i="9"/>
  <c r="D52" i="9"/>
  <c r="D28" i="9"/>
  <c r="E118" i="9"/>
  <c r="E82" i="9"/>
  <c r="E83" i="9" s="1"/>
  <c r="E84" i="9" s="1"/>
  <c r="F64" i="9"/>
  <c r="F65" i="9"/>
  <c r="F17" i="9"/>
  <c r="I52" i="9"/>
  <c r="H76" i="9"/>
  <c r="G76" i="9"/>
  <c r="I76" i="9"/>
  <c r="F41" i="9"/>
  <c r="G17" i="9"/>
  <c r="H65" i="9"/>
  <c r="G40" i="9"/>
  <c r="G64" i="9"/>
  <c r="H28" i="9"/>
  <c r="H16" i="9"/>
  <c r="H41" i="9"/>
  <c r="G28" i="9"/>
  <c r="F76" i="9"/>
  <c r="G65" i="9"/>
  <c r="G41" i="9"/>
  <c r="H17" i="9"/>
  <c r="F28" i="9"/>
  <c r="F52" i="9"/>
  <c r="D66" i="9" l="1"/>
  <c r="D42" i="9"/>
  <c r="D18" i="9"/>
  <c r="E119" i="9"/>
  <c r="M112" i="9"/>
  <c r="G52" i="9"/>
  <c r="F77" i="9"/>
  <c r="H18" i="9"/>
  <c r="G53" i="9"/>
  <c r="G66" i="9"/>
  <c r="G77" i="9"/>
  <c r="H52" i="9"/>
  <c r="F18" i="9"/>
  <c r="H42" i="9"/>
  <c r="F66" i="9"/>
  <c r="F53" i="9"/>
  <c r="F42" i="9"/>
  <c r="I53" i="9"/>
  <c r="H53" i="9"/>
  <c r="F29" i="9"/>
  <c r="H29" i="9"/>
  <c r="H66" i="9"/>
  <c r="G42" i="9"/>
  <c r="I77" i="9"/>
  <c r="G29" i="9"/>
  <c r="H77" i="9"/>
  <c r="G18" i="9"/>
  <c r="G26" i="9" l="1"/>
  <c r="G14" i="9"/>
  <c r="H14" i="9"/>
  <c r="F14" i="9"/>
  <c r="A8" i="10" s="1"/>
  <c r="D78" i="9"/>
  <c r="D67" i="9"/>
  <c r="D54" i="9"/>
  <c r="D43" i="9"/>
  <c r="D30" i="9"/>
  <c r="D19" i="9"/>
  <c r="G67" i="9"/>
  <c r="G19" i="9"/>
  <c r="G78" i="9"/>
  <c r="I54" i="9"/>
  <c r="G54" i="9"/>
  <c r="F78" i="9"/>
  <c r="H19" i="9"/>
  <c r="F43" i="9"/>
  <c r="F54" i="9"/>
  <c r="F30" i="9"/>
  <c r="F19" i="9"/>
  <c r="H43" i="9"/>
  <c r="H78" i="9"/>
  <c r="H67" i="9"/>
  <c r="H54" i="9"/>
  <c r="G30" i="9"/>
  <c r="I78" i="9"/>
  <c r="F67" i="9"/>
  <c r="G43" i="9"/>
  <c r="H30" i="9"/>
  <c r="I50" i="9" l="1"/>
  <c r="S15" i="11" s="1"/>
  <c r="G9" i="11"/>
  <c r="I3" i="11" s="1"/>
  <c r="G11" i="11"/>
  <c r="J3" i="11" s="1"/>
  <c r="H26" i="9"/>
  <c r="F26" i="9"/>
  <c r="A10" i="10" s="1"/>
  <c r="I74" i="9"/>
  <c r="S19" i="11" s="1"/>
  <c r="D79" i="9"/>
  <c r="D68" i="9"/>
  <c r="D55" i="9"/>
  <c r="D44" i="9"/>
  <c r="D31" i="9"/>
  <c r="D20" i="9"/>
  <c r="H68" i="9"/>
  <c r="H20" i="9"/>
  <c r="F55" i="9"/>
  <c r="F20" i="9"/>
  <c r="H31" i="9"/>
  <c r="F68" i="9"/>
  <c r="G68" i="9"/>
  <c r="F31" i="9"/>
  <c r="G20" i="9"/>
  <c r="H44" i="9"/>
  <c r="F79" i="9"/>
  <c r="H55" i="9"/>
  <c r="G79" i="9"/>
  <c r="H79" i="9"/>
  <c r="G31" i="9"/>
  <c r="F44" i="9"/>
  <c r="G44" i="9"/>
  <c r="G55" i="9"/>
  <c r="D80" i="9" l="1"/>
  <c r="D69" i="9"/>
  <c r="D56" i="9"/>
  <c r="D45" i="9"/>
  <c r="D32" i="9"/>
  <c r="D21" i="9"/>
  <c r="H32" i="9"/>
  <c r="F45" i="9"/>
  <c r="H56" i="9"/>
  <c r="G32" i="9"/>
  <c r="F80" i="9"/>
  <c r="F69" i="9"/>
  <c r="G69" i="9"/>
  <c r="F21" i="9"/>
  <c r="H80" i="9"/>
  <c r="G56" i="9"/>
  <c r="G45" i="9"/>
  <c r="H45" i="9"/>
  <c r="G80" i="9"/>
  <c r="F32" i="9"/>
  <c r="F56" i="9"/>
  <c r="H21" i="9"/>
  <c r="H69" i="9"/>
  <c r="G21" i="9"/>
  <c r="G38" i="9" l="1"/>
  <c r="D81" i="9"/>
  <c r="H62" i="9"/>
  <c r="F62" i="9"/>
  <c r="A16" i="10" s="1"/>
  <c r="D70" i="9"/>
  <c r="D57" i="9"/>
  <c r="D46" i="9"/>
  <c r="D33" i="9"/>
  <c r="D22" i="9"/>
  <c r="F81" i="9"/>
  <c r="F70" i="9"/>
  <c r="F57" i="9"/>
  <c r="H81" i="9"/>
  <c r="H22" i="9"/>
  <c r="G70" i="9"/>
  <c r="H33" i="9"/>
  <c r="H70" i="9"/>
  <c r="F33" i="9"/>
  <c r="H46" i="9"/>
  <c r="G57" i="9"/>
  <c r="G22" i="9"/>
  <c r="G81" i="9"/>
  <c r="H57" i="9"/>
  <c r="G33" i="9"/>
  <c r="I22" i="9"/>
  <c r="F46" i="9"/>
  <c r="G46" i="9"/>
  <c r="I33" i="9"/>
  <c r="F22" i="9"/>
  <c r="G50" i="9" l="1"/>
  <c r="G62" i="9" s="1"/>
  <c r="G74" i="9" s="1"/>
  <c r="H74" i="9"/>
  <c r="F74" i="9"/>
  <c r="A18" i="10" s="1"/>
  <c r="D82" i="9"/>
  <c r="D71" i="9"/>
  <c r="D58" i="9"/>
  <c r="D47" i="9"/>
  <c r="D34" i="9"/>
  <c r="D23" i="9"/>
  <c r="F71" i="9"/>
  <c r="F47" i="9"/>
  <c r="G34" i="9"/>
  <c r="F82" i="9"/>
  <c r="F34" i="9"/>
  <c r="G82" i="9"/>
  <c r="G58" i="9"/>
  <c r="I34" i="9"/>
  <c r="H58" i="9"/>
  <c r="H34" i="9"/>
  <c r="H47" i="9"/>
  <c r="I23" i="9"/>
  <c r="G23" i="9"/>
  <c r="H82" i="9"/>
  <c r="G47" i="9"/>
  <c r="F58" i="9"/>
  <c r="H23" i="9"/>
  <c r="G71" i="9"/>
  <c r="F23" i="9"/>
  <c r="H71" i="9"/>
  <c r="H50" i="9" l="1"/>
  <c r="F50" i="9"/>
  <c r="A14" i="10" s="1"/>
  <c r="H38" i="9"/>
  <c r="F38" i="9"/>
  <c r="A12" i="10" s="1"/>
  <c r="D83" i="9"/>
  <c r="D72" i="9"/>
  <c r="D59" i="9"/>
  <c r="D48" i="9"/>
  <c r="D35" i="9"/>
  <c r="D24" i="9"/>
  <c r="G72" i="9"/>
  <c r="G83" i="9"/>
  <c r="F83" i="9"/>
  <c r="I35" i="9"/>
  <c r="G59" i="9"/>
  <c r="F35" i="9"/>
  <c r="H24" i="9"/>
  <c r="I48" i="9"/>
  <c r="G35" i="9"/>
  <c r="H83" i="9"/>
  <c r="G24" i="9"/>
  <c r="H48" i="9"/>
  <c r="F48" i="9"/>
  <c r="H72" i="9"/>
  <c r="G48" i="9"/>
  <c r="F72" i="9"/>
  <c r="I24" i="9"/>
  <c r="F24" i="9"/>
  <c r="I72" i="9"/>
  <c r="H59" i="9"/>
  <c r="H35" i="9"/>
  <c r="F59" i="9"/>
  <c r="G13" i="11" l="1"/>
  <c r="K3" i="11" s="1"/>
  <c r="D84" i="9"/>
  <c r="D60" i="9"/>
  <c r="D36" i="9"/>
  <c r="H84" i="9"/>
  <c r="F36" i="9"/>
  <c r="F60" i="9"/>
  <c r="I60" i="9"/>
  <c r="G60" i="9"/>
  <c r="F84" i="9"/>
  <c r="G84" i="9"/>
  <c r="I84" i="9"/>
  <c r="H36" i="9"/>
  <c r="I36" i="9"/>
  <c r="H60" i="9"/>
  <c r="G36" i="9"/>
  <c r="G15" i="11" l="1"/>
  <c r="L3" i="11" s="1"/>
  <c r="G17" i="11" l="1"/>
  <c r="M3" i="11" s="1"/>
  <c r="G19" i="11" l="1"/>
  <c r="N3" i="11" s="1"/>
  <c r="F4" i="9"/>
  <c r="A1" i="10" s="1"/>
</calcChain>
</file>

<file path=xl/sharedStrings.xml><?xml version="1.0" encoding="utf-8"?>
<sst xmlns="http://schemas.openxmlformats.org/spreadsheetml/2006/main" count="912" uniqueCount="269">
  <si>
    <t>A</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</si>
  <si>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</si>
  <si>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</si>
  <si>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</si>
  <si>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</si>
  <si>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Order Number</t>
  </si>
  <si>
    <t>Model Type</t>
  </si>
  <si>
    <t>Default</t>
  </si>
  <si>
    <t>Reason branding</t>
  </si>
  <si>
    <t>Firmware Version</t>
  </si>
  <si>
    <t>Hardware Design Suffix</t>
  </si>
  <si>
    <t>01</t>
  </si>
  <si>
    <t>Languages</t>
  </si>
  <si>
    <t>En</t>
  </si>
  <si>
    <t>Pt</t>
  </si>
  <si>
    <t>Es</t>
  </si>
  <si>
    <t>Modelo</t>
  </si>
  <si>
    <t>English</t>
  </si>
  <si>
    <t>Português</t>
  </si>
  <si>
    <t>Espanhol</t>
  </si>
  <si>
    <t>Marca Reason</t>
  </si>
  <si>
    <t>Versão de Firmware</t>
  </si>
  <si>
    <t>Versión del Firmware</t>
  </si>
  <si>
    <t>Número de Versión del Firmware</t>
  </si>
  <si>
    <t>Versión Inicial</t>
  </si>
  <si>
    <t>Language Selection</t>
  </si>
  <si>
    <t>Selección del Idioma</t>
  </si>
  <si>
    <t>Nuestra política es de desarrollo continuo. Por lo tanto el diseño de nuestros productos puede cambiar en cualquier momento.</t>
  </si>
  <si>
    <t xml:space="preserve">Embora sejam demandados esforços para manter a documentação atualizada, este documento deve ser visto como um guia e destina-se apenas para fins informativos. </t>
  </si>
  <si>
    <t>A pesar del esfuerzo por producir literatura actualizada, este documento sólo debe considerarse como una guía y está destinada únicamente a fines informativos.</t>
  </si>
  <si>
    <t>Seu conteúdo não constitui uma proposta para venda ou recomendação sobre a aplicação de qualquer produto nele mencionado. Nós não podemos ser responsabilizados por quaisquer consequências em decisões tomadas sobre o seu conteúdo, sem recomendações específicas.</t>
  </si>
  <si>
    <t>Su contenido no constituye una oferta de venta o asesoramiento en la aplicación de cualquier producto contemplado en el mismo. No podemos ser responsables por cualquier dependencia de las decisiones adoptadas en su contenido sin notificación al respecto.</t>
  </si>
  <si>
    <t>Variantes</t>
  </si>
  <si>
    <t>Número de Orden</t>
  </si>
  <si>
    <t>New function</t>
  </si>
  <si>
    <t>Nova função</t>
  </si>
  <si>
    <t>Nueva función</t>
  </si>
  <si>
    <t>Versão Inicial</t>
  </si>
  <si>
    <t>Não Instalado</t>
  </si>
  <si>
    <t>No Instalado</t>
  </si>
  <si>
    <t>Issue:</t>
  </si>
  <si>
    <t>Informações requeridas para o pedido:</t>
  </si>
  <si>
    <t>Seleção de Idioma</t>
  </si>
  <si>
    <t>Emissão:</t>
  </si>
  <si>
    <t>Emisión:</t>
  </si>
  <si>
    <t xml:space="preserve">Número da Versão do Firmware </t>
  </si>
  <si>
    <t>Nossa política é de desenvolvimento contínuo. Portanto, o projeto de nossos produtos pode mudar a qualquer momento.</t>
  </si>
  <si>
    <t>Firmware version number</t>
  </si>
  <si>
    <t>Initial version</t>
  </si>
  <si>
    <t>24-48 Vdc</t>
  </si>
  <si>
    <t>24-48 Vcc</t>
  </si>
  <si>
    <t>02</t>
  </si>
  <si>
    <t>Option</t>
  </si>
  <si>
    <t>Code</t>
  </si>
  <si>
    <t>Cost</t>
  </si>
  <si>
    <t>Avail.</t>
  </si>
  <si>
    <t>Y</t>
  </si>
  <si>
    <t>N</t>
  </si>
  <si>
    <t>Date Drivers start reference</t>
  </si>
  <si>
    <t>Date Drivers finish reference</t>
  </si>
  <si>
    <t>Pos</t>
  </si>
  <si>
    <t>Description</t>
  </si>
  <si>
    <t>P</t>
  </si>
  <si>
    <t>Material Cost</t>
  </si>
  <si>
    <t>Orders on request</t>
  </si>
  <si>
    <t>Information required with order:</t>
  </si>
  <si>
    <t>Información necesaria para la orden de compra:</t>
  </si>
  <si>
    <t>Custo de Material</t>
  </si>
  <si>
    <t>Costo de Materiales</t>
  </si>
  <si>
    <t>Venda sob-consulta</t>
  </si>
  <si>
    <t>Pedidos mediante consulta</t>
  </si>
  <si>
    <t>Key date:</t>
  </si>
  <si>
    <t>Chassis</t>
  </si>
  <si>
    <t>Base date:</t>
  </si>
  <si>
    <t>CORTEC:</t>
  </si>
  <si>
    <t>Model type:</t>
  </si>
  <si>
    <t>100-250 Vdc / 110-240 Vac</t>
  </si>
  <si>
    <t>100-250 Vcc / 110-240 Vca</t>
  </si>
  <si>
    <t>GE branding</t>
  </si>
  <si>
    <t>Marca GE</t>
  </si>
  <si>
    <t>E</t>
  </si>
  <si>
    <t>Última versão disponível</t>
  </si>
  <si>
    <t>Última versión disponible</t>
  </si>
  <si>
    <t>DR60</t>
  </si>
  <si>
    <t>Digital Recorder</t>
  </si>
  <si>
    <t>O</t>
  </si>
  <si>
    <t>Slot A - Power Supply</t>
  </si>
  <si>
    <t>Slot B - Hardware Options</t>
  </si>
  <si>
    <t>Slot C - Binary I/O</t>
  </si>
  <si>
    <t>Primary Functions</t>
  </si>
  <si>
    <t>Secondary Functions</t>
  </si>
  <si>
    <t>Warranty</t>
  </si>
  <si>
    <t>Slot D - Binary I/O</t>
  </si>
  <si>
    <t>Standard warranty</t>
  </si>
  <si>
    <t>Standard Issue</t>
  </si>
  <si>
    <t>IEC 62439-3 PRP (Release 2)</t>
  </si>
  <si>
    <t>Waveform recorder</t>
  </si>
  <si>
    <t>Disturbance Recorder</t>
  </si>
  <si>
    <t>Continuous Disturbance Recorder</t>
  </si>
  <si>
    <t>04</t>
  </si>
  <si>
    <t>16 x 24/48/125/250 V binary inputs</t>
  </si>
  <si>
    <t>6 x  24/48/125/250 V binary inputs and 8 x binary outputs</t>
  </si>
  <si>
    <t>Not installed</t>
  </si>
  <si>
    <t>B1</t>
  </si>
  <si>
    <t>B2</t>
  </si>
  <si>
    <t>XX</t>
  </si>
  <si>
    <t>ME</t>
  </si>
  <si>
    <t>P1</t>
  </si>
  <si>
    <t>P5</t>
  </si>
  <si>
    <t>DC</t>
  </si>
  <si>
    <t>Latest available firmware - 01</t>
  </si>
  <si>
    <t>Total</t>
  </si>
  <si>
    <t xml:space="preserve">Master Text </t>
  </si>
  <si>
    <t>1-4</t>
  </si>
  <si>
    <t>7-8</t>
  </si>
  <si>
    <t>9-10</t>
  </si>
  <si>
    <t>11-12</t>
  </si>
  <si>
    <t>13-14</t>
  </si>
  <si>
    <t>15-16</t>
  </si>
  <si>
    <t>17-18</t>
  </si>
  <si>
    <t>19-20</t>
  </si>
  <si>
    <t>22-23</t>
  </si>
  <si>
    <t>Slot A - Alimentação</t>
  </si>
  <si>
    <t>Slot A - Alimentación</t>
  </si>
  <si>
    <t>Slot B - Opções de Hardware</t>
  </si>
  <si>
    <t>Slot B - Opciones de Hardware</t>
  </si>
  <si>
    <t>Slot C - Entradas e Saídas Binárias</t>
  </si>
  <si>
    <t>16 x 24/48/125/250 V entradas binárias</t>
  </si>
  <si>
    <t>6 x  24/48/125/250 V entradas binárias e 8 x saídas binárias</t>
  </si>
  <si>
    <t>Funções Principais</t>
  </si>
  <si>
    <t>Funciones Principales</t>
  </si>
  <si>
    <t>Funções Secundárias</t>
  </si>
  <si>
    <t>Funções Secundarias</t>
  </si>
  <si>
    <t>Two RJ45 copper 10/100BASE-TX Ethernet interfaces</t>
  </si>
  <si>
    <t>Duas interfaces Ethernet 10/100BASE-TX com conectores tipo RJ45</t>
  </si>
  <si>
    <t>Dos interfaces Ethernet 10/100BASE-FX con conectores tipo RJ45</t>
  </si>
  <si>
    <t>Garantia</t>
  </si>
  <si>
    <t>Sufixo do Projeto Hardware</t>
  </si>
  <si>
    <t>Sufijo del Disenõ Hardware</t>
  </si>
  <si>
    <t>Garantia Padrão</t>
  </si>
  <si>
    <t>Garantia Estándar</t>
  </si>
  <si>
    <t>Edição padrão</t>
  </si>
  <si>
    <t>Slot D - Entradas y Salidas Binarias</t>
  </si>
  <si>
    <t>4 x VT 115 V and 4 CT 1/5 A RMS measurement analog inputs</t>
  </si>
  <si>
    <t>4 x VT 115 V and 4 x CT 1 A RMS protection analog inputs</t>
  </si>
  <si>
    <t>4 x TP 115 V e 4 x TC 1 A RMS entradas analógicas de proteção</t>
  </si>
  <si>
    <t>4 x ±10 Vdc and 4 x 0-20 mAdc transducer inputs</t>
  </si>
  <si>
    <t>4 x ±10 Vdc e 4 x 0-20 mAdc entradas de transdutores</t>
  </si>
  <si>
    <t>4 x TP 115V e 4 x TC 5 A RMS entradas analógicas de proteção</t>
  </si>
  <si>
    <t>4 x VT 115V and 4 x CT 5 A RMS protection analog inputs</t>
  </si>
  <si>
    <t>4 x ±10 Vdc y 4 x 0-20 mAdc entradas de transductores</t>
  </si>
  <si>
    <t>4 x TP 115V y 4 x TC 5 A RMS entradas analógicas de protección</t>
  </si>
  <si>
    <t>4 x TP 115 V y 4 x TC 1 A RMS entradas analógicas de protección</t>
  </si>
  <si>
    <t>**</t>
  </si>
  <si>
    <t>---</t>
  </si>
  <si>
    <t>16 x 24/48/125/250 V entradas binarias</t>
  </si>
  <si>
    <t>6 x  24/48/125/250 V entradas binarias y 8 x salidas binarias</t>
  </si>
  <si>
    <t>Slot C - Entradas y Salidas Binarias</t>
  </si>
  <si>
    <t>4 x TP 115 V e 4 x TC 1/5 A RMS entradas analógicas de medição</t>
  </si>
  <si>
    <t>Slot D - Entradas/Saídas Binárias</t>
  </si>
  <si>
    <t>Slot H -  Flexible I/O Options</t>
  </si>
  <si>
    <t>Slot G -  Flexible I/O Options</t>
  </si>
  <si>
    <t>Slot F - Flexible I/O Options</t>
  </si>
  <si>
    <t>Slot E -  Flexible I/O Options</t>
  </si>
  <si>
    <t>Slot F - Opções Flexíveis de Entrada e Saída</t>
  </si>
  <si>
    <t>Slot G - Opções Flexíveis de Entrada e Saída</t>
  </si>
  <si>
    <t>Slot H - Opções Flexíveis de Entrada e Saída</t>
  </si>
  <si>
    <t>Slot E - Opções Flexíveis de Entrada e Saída</t>
  </si>
  <si>
    <t>Slot E - Opciones Flexibles de Entradas y Salidas</t>
  </si>
  <si>
    <t>Slot F - Opciones Flexibles de Entradas y Salidas</t>
  </si>
  <si>
    <t>Slot G - Opciones Flexibles de Entradas y Salidas</t>
  </si>
  <si>
    <t>Slot H - Opciones Flexibles de Entradas y Salidas</t>
  </si>
  <si>
    <t>Processing unit + two RJ45 copper 10/100BASE-TX Ethernet interfaces</t>
  </si>
  <si>
    <t>Unidade de processamento + duas interfaces Ethernet 10/100BASE-TX com conectores tipo RJ45</t>
  </si>
  <si>
    <t xml:space="preserve">Unidade de processamento + duas interfaces Ethernet 100BASE-FX com conectores tipo LC duplex </t>
  </si>
  <si>
    <t xml:space="preserve">Unidad de procesamiento + dos interfaces Ethernet 100BASE-FX con conectores tipo LC dúplex </t>
  </si>
  <si>
    <t>Unidad de procesamiento + dos interfaces Ethernet 10/100BASE-TX con conectores tipo RJ45</t>
  </si>
  <si>
    <t>Processing unit + two multimode LC-type connector 100BASE-FX Ethernet interfaces</t>
  </si>
  <si>
    <t>Registrador de Forma de Onda</t>
  </si>
  <si>
    <t>Registrador de Perturbação</t>
  </si>
  <si>
    <t>Registrador de Perturbación</t>
  </si>
  <si>
    <t>Registrador de Medición Continua</t>
  </si>
  <si>
    <t>Registrador Contínuo de Perturbação</t>
  </si>
  <si>
    <t>4 x TP 115 V y 4 x TC 1/5 A RMS entradas analógicas de medición</t>
  </si>
  <si>
    <t>Edición Estándar</t>
  </si>
  <si>
    <t>French</t>
  </si>
  <si>
    <t>Fr</t>
  </si>
  <si>
    <t>Type Modèle</t>
  </si>
  <si>
    <t>Carte A - Alimentation</t>
  </si>
  <si>
    <t>Carte B - Options Hardware</t>
  </si>
  <si>
    <t>Deux connecteurs type LC multimode 100BASE-X interfaces Ethernet</t>
  </si>
  <si>
    <t>Carte C - E/S Binaires</t>
  </si>
  <si>
    <t>16 x 24/48/125/250 V entrées binaires</t>
  </si>
  <si>
    <t>6 x  24/48/125/250 V entrées binaires et 8 x sorties binaires</t>
  </si>
  <si>
    <t>Non installé</t>
  </si>
  <si>
    <t>Carte D - E/S Binaires</t>
  </si>
  <si>
    <t>Carte E - E/S Flexibles</t>
  </si>
  <si>
    <t>4 x VT 115 V et 4 CT 1/5 A RMS entrées analogues de mesures</t>
  </si>
  <si>
    <t>Carte F - E/S Flexibles</t>
  </si>
  <si>
    <t>Carte G - E/S Flexibles</t>
  </si>
  <si>
    <t>Carte H - E/S Flexibles</t>
  </si>
  <si>
    <t>Défault</t>
  </si>
  <si>
    <t>Marquage Reason</t>
  </si>
  <si>
    <t>Marquage GE</t>
  </si>
  <si>
    <t>Fonctions Principales</t>
  </si>
  <si>
    <t>Version Logiciel</t>
  </si>
  <si>
    <t>Fonctions Auxiliaires</t>
  </si>
  <si>
    <t>Version initiale</t>
  </si>
  <si>
    <t>Publication:</t>
  </si>
  <si>
    <t>Choix langue</t>
  </si>
  <si>
    <t>Notre politique est celle du développement continu. Selon la conception de nos produits celle-ci peut changer à tout moment.</t>
  </si>
  <si>
    <r>
      <t>Dès lors, tous les efforts sont faits pour avoir une documentation maintenue à jour, ce document doit être compris en tant que guide and est con</t>
    </r>
    <r>
      <rPr>
        <sz val="9"/>
        <color theme="1"/>
        <rFont val="Calibri"/>
        <family val="2"/>
      </rPr>
      <t>ç</t>
    </r>
    <r>
      <rPr>
        <sz val="9"/>
        <color theme="1"/>
        <rFont val="Arial"/>
        <family val="2"/>
      </rPr>
      <t>u dans le seul but d'informer.</t>
    </r>
  </si>
  <si>
    <t>Son contenu ne constitue pas une offre pour la commercialisation ou un conseil pour l'utilisation d'un produit auquel il se referre. Nous ne pouvons être tenus responsable de la fiabilité des décisions prises sur son contenu sans accord préalable.</t>
  </si>
  <si>
    <t>Information nécessaire avec la commande:</t>
  </si>
  <si>
    <t>Numéro de commande</t>
  </si>
  <si>
    <t>Nouvelle fonctionnalité</t>
  </si>
  <si>
    <t>Trend Recorder</t>
  </si>
  <si>
    <t>B</t>
  </si>
  <si>
    <t>Latest available firmware - 02</t>
  </si>
  <si>
    <t>Última versão disponível - 02</t>
  </si>
  <si>
    <t>Última versión disponible - 02</t>
  </si>
  <si>
    <t xml:space="preserve">Registrador de Trend </t>
  </si>
  <si>
    <t>Release 2 - Adicionados PMU C37.118 e Registrador de Trend como opção e DNP3 para todos os modelos.</t>
  </si>
  <si>
    <t>Original Created.</t>
  </si>
  <si>
    <t>Criado Originalmente.</t>
  </si>
  <si>
    <t>Creado Originalmente.</t>
  </si>
  <si>
    <t>Originale crée le.</t>
  </si>
  <si>
    <t>Release 2 - PMU C37.118 and Trend Recorder added as option and DNP3 added for all models.</t>
  </si>
  <si>
    <t>Release 2 - PMU C37.118 y Registrador de Trend fueron agregados como opción y un DNP3 fue agregado para todos los modelos.</t>
  </si>
  <si>
    <t xml:space="preserve">Registrador de Tendência </t>
  </si>
  <si>
    <t>Phasor Measurement Unit (PMU)</t>
  </si>
  <si>
    <t>Unidade de Medição Sincrofasorial (PMU)</t>
  </si>
  <si>
    <t>Only supported if Waveform Recorder is available</t>
  </si>
  <si>
    <t>Disponível somente se o Registrador de Forma de Onda estiver habilitado</t>
  </si>
  <si>
    <t>Disponible sólo si el Registrador de forma de onda está habilitado</t>
  </si>
  <si>
    <t>Disponible uniquement si l'enregistreur de formes d'onde est activé</t>
  </si>
  <si>
    <t>C</t>
  </si>
  <si>
    <t>Blocking enable PMU function without waveform recorder</t>
  </si>
  <si>
    <t>Bloqueio da habilitação da funcionalidade de PMU sem o 
Registrador de perturbação</t>
  </si>
  <si>
    <t>Bloqueo de la habilitación de la funcionalidad de PMU sin el
Registrador de perturbación</t>
  </si>
  <si>
    <t>Verrouillage de la fonction PMU activé sans 
l'enregistreur de perturbations</t>
  </si>
  <si>
    <t>B3</t>
  </si>
  <si>
    <t>B4</t>
  </si>
  <si>
    <t>Hardware Version A</t>
  </si>
  <si>
    <t>Versão de Hardware A</t>
  </si>
  <si>
    <t>Versión de Hardware A</t>
  </si>
  <si>
    <t>Version matérielle A</t>
  </si>
  <si>
    <t>Hardware Version B</t>
  </si>
  <si>
    <t>Versão de Hardware B</t>
  </si>
  <si>
    <t>Versión de Hardware B</t>
  </si>
  <si>
    <t>Version matérielle B</t>
  </si>
  <si>
    <t>6 x  24/48/125/250 V binary inputs and 8 x Form-A binary outputs</t>
  </si>
  <si>
    <t>6 x  24/48/125/250 V entradas binárias e 8 x Form-A saídas binárias</t>
  </si>
  <si>
    <t>6 x  24/48/125/250 V entradas binarias y 8 x Form-A salidas binarias</t>
  </si>
  <si>
    <t>6 x  24/48/125/250 V entrées binaires et 8 x Form-A sorties binaires</t>
  </si>
  <si>
    <t>Orig</t>
  </si>
  <si>
    <t>D</t>
  </si>
  <si>
    <t>Added Hardware version B</t>
  </si>
  <si>
    <t>Agregada versíon de hardware B</t>
  </si>
  <si>
    <t>Versão de Hardware B adicionada</t>
  </si>
  <si>
    <t>Ajout de la version matérielle B l'enregistreur de perturbations</t>
  </si>
  <si>
    <t>Correção para seleção de placas por slot</t>
  </si>
  <si>
    <t>Correction for board selection per slot</t>
  </si>
  <si>
    <t>Correction pour la sélection de la carte par emplacement</t>
  </si>
  <si>
    <t>F</t>
  </si>
  <si>
    <t>Option Hardware A Withdrawn by CID 008163 - 02/07/2024. GE Publication no GER-4938</t>
  </si>
  <si>
    <t>Opção de Hardware A removida via CID 008163 - 02/07/2024. GE Publication no GER-4938</t>
  </si>
  <si>
    <t>Opción de Hardware A removida via CID 008163 - 02/07/2024. GE Numero de publicación GER-4938</t>
  </si>
  <si>
    <t>Suppression de l’option matérielle par CID 008163 - 02/07/2024. GE Publication no GER-4938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</si>
</sst>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sz val="10"/>
      <name val="Arial"/>
      <family val="2"/>
    </font>
    <font>
      <sz val="11"/>
      <name val="Arial"/>
      <family val="2"/>
    </font>
    <font>
      <sz val="9"/>
      <name val="Arial"/>
      <family val="2"/>
    </font>
    <font>
      <b/>
      <sz val="10"/>
      <name val="Arial"/>
      <family val="2"/>
    </font>
    <font>
      <sz val="10"/>
      <color indexed="9"/>
      <name val="Arial"/>
      <family val="2"/>
    </font>
    <font>
      <sz val="11"/>
      <color indexed="8"/>
      <name val="Arial"/>
      <family val="2"/>
    </font>
    <font>
      <sz val="9"/>
      <color indexed="8"/>
      <name val="Arial"/>
      <family val="2"/>
    </font>
    <font>
      <b/>
      <sz val="9"/>
      <color indexed="10"/>
      <name val="Arial"/>
      <family val="2"/>
    </font>
    <font>
      <b/>
      <sz val="9"/>
      <color indexed="8"/>
      <name val="Arial"/>
      <family val="2"/>
    </font>
    <font>
      <sz val="11"/>
      <color indexed="30"/>
      <name val="Arial"/>
      <family val="2"/>
    </font>
    <font>
      <b/>
      <sz val="14"/>
      <color indexed="10"/>
      <name val="Arial"/>
      <family val="2"/>
    </font>
    <font>
      <sz val="12"/>
      <color indexed="8"/>
      <name val="Arial"/>
      <family val="2"/>
    </font>
    <font>
      <b/>
      <sz val="14"/>
      <color indexed="8"/>
      <name val="Arial"/>
      <family val="2"/>
    </font>
    <font>
      <sz val="14"/>
      <color indexed="8"/>
      <name val="Arial"/>
      <family val="2"/>
    </font>
    <font>
      <b/>
      <sz val="11"/>
      <color indexed="8"/>
      <name val="Arial"/>
      <family val="2"/>
    </font>
    <font>
      <sz val="11"/>
      <color indexed="10"/>
      <name val="Arial"/>
      <family val="2"/>
    </font>
    <font>
      <b/>
      <sz val="12"/>
      <color indexed="10"/>
      <name val="Arial"/>
      <family val="2"/>
    </font>
    <font>
      <sz val="8"/>
      <name val="Calibri"/>
      <family val="2"/>
    </font>
    <font>
      <b/>
      <sz val="12"/>
      <color indexed="12"/>
      <name val="Arial"/>
      <family val="2"/>
    </font>
    <font>
      <b/>
      <sz val="11"/>
      <name val="Arial"/>
      <family val="2"/>
    </font>
    <font>
      <sz val="11"/>
      <color rgb="FFFF0000"/>
      <name val="Arial"/>
      <family val="2"/>
    </font>
    <font>
      <sz val="9"/>
      <color theme="1"/>
      <name val="Arial"/>
      <family val="2"/>
    </font>
    <font>
      <b/>
      <sz val="9"/>
      <color theme="0"/>
      <name val="Arial"/>
      <family val="2"/>
    </font>
    <font>
      <sz val="10"/>
      <color theme="1"/>
      <name val="Arial"/>
      <family val="2"/>
    </font>
    <font>
      <sz val="10"/>
      <color indexed="8"/>
      <name val="Arial"/>
      <family val="2"/>
    </font>
    <font>
      <b/>
      <sz val="10"/>
      <color indexed="10"/>
      <name val="Arial"/>
      <family val="2"/>
    </font>
    <font>
      <b/>
      <sz val="10"/>
      <color indexed="8"/>
      <name val="Arial"/>
      <family val="2"/>
    </font>
    <font>
      <sz val="10"/>
      <color theme="3" tint="-0.249977111117893"/>
      <name val="Arial"/>
      <family val="2"/>
    </font>
    <font>
      <sz val="10"/>
      <color rgb="FFFF0000"/>
      <name val="Arial"/>
      <family val="2"/>
    </font>
    <font>
      <b/>
      <sz val="9"/>
      <color theme="1"/>
      <name val="Arial"/>
      <family val="2"/>
    </font>
    <font>
      <sz val="9"/>
      <color theme="1"/>
      <name val="Calibri"/>
      <family val="2"/>
    </font>
    <font>
      <b/>
      <sz val="16"/>
      <color rgb="FFFF0000"/>
      <name val="Arial"/>
      <family val="2"/>
    </font>
    <font>
      <strike/>
      <sz val="10"/>
      <color theme="1"/>
      <name val="Arial"/>
      <family val="2"/>
    </font>
    <font>
      <strike/>
      <sz val="9"/>
      <color theme="1"/>
      <name val="Arial"/>
      <family val="2"/>
    </font>
    <font>
      <strike/>
      <sz val="9"/>
      <color indexed="8"/>
      <name val="Arial"/>
      <family val="2"/>
    </font>
    <font>
      <strike/>
      <sz val="10"/>
      <name val="Arial"/>
      <family val="2"/>
    </font>
  </fonts>
  <fills count="15">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96969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theme="1" tint="0.499984740745262"/>
        <bgColor indexed="64"/>
      </patternFill>
    </fill>
    <fill>
      <patternFill patternType="solid">
        <fgColor theme="4" tint="0.79998168889431442"/>
        <bgColor indexed="64"/>
      </patternFill>
    </fill>
  </fills>
  <borders count="36">
    <border>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top style="medium">
        <color indexed="64"/>
      </top>
      <bottom style="thin">
        <color indexed="64"/>
      </bottom>
      <diagonal/>
    </border>
  </borders>
  <cellStyleXfs count="4">
    <xf numFmtId="0" fontId="0" fillId="0" borderId="0"/>
    <xf numFmtId="0" fontId="1" fillId="0" borderId="0"/>
    <xf numFmtId="0" fontId="1" fillId="0" borderId="0"/>
    <xf numFmtId="0" fontId="2" fillId="0" borderId="0"/>
  </cellStyleXfs>
  <cellXfs count="263">
    <xf numFmtId="0" fontId="0" fillId="0" borderId="0" xfId="0"/>
    <xf numFmtId="0" fontId="2" fillId="0" borderId="0" xfId="3"/>
    <xf numFmtId="0" fontId="6" fillId="0" borderId="0" xfId="0" applyFont="1"/>
    <xf numFmtId="0" fontId="7" fillId="0" borderId="0" xfId="0" applyFont="1"/>
    <xf numFmtId="0" fontId="9" fillId="0" borderId="3" xfId="0" applyFont="1" applyBorder="1"/>
    <xf numFmtId="0" fontId="7" fillId="0" borderId="4" xfId="0" applyFont="1" applyBorder="1" applyAlignment="1" applyProtection="1">
      <alignment horizontal="center" vertical="center"/>
      <protection locked="0"/>
    </xf>
    <xf numFmtId="0" fontId="7"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horizontal="center"/>
    </xf>
    <xf numFmtId="0" fontId="7" fillId="0" borderId="7"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7" fillId="0" borderId="5" xfId="0" applyFont="1" applyBorder="1" applyAlignment="1">
      <alignment horizontal="center"/>
    </xf>
    <xf numFmtId="0" fontId="9" fillId="0" borderId="10" xfId="0" applyFont="1" applyBorder="1"/>
    <xf numFmtId="0" fontId="7" fillId="0" borderId="11" xfId="0" applyFont="1" applyBorder="1" applyAlignment="1">
      <alignment horizontal="center"/>
    </xf>
    <xf numFmtId="0" fontId="9" fillId="0" borderId="0" xfId="0" applyFont="1"/>
    <xf numFmtId="0" fontId="7" fillId="0" borderId="12" xfId="0" applyFont="1" applyBorder="1" applyAlignment="1">
      <alignment horizontal="center"/>
    </xf>
    <xf numFmtId="0" fontId="6" fillId="0" borderId="0" xfId="0" applyFont="1" applyAlignment="1">
      <alignment horizontal="center" vertical="center"/>
    </xf>
    <xf numFmtId="0" fontId="11" fillId="0" borderId="10" xfId="0" applyFont="1" applyBorder="1" applyAlignment="1">
      <alignment horizontal="center" vertical="center"/>
    </xf>
    <xf numFmtId="0" fontId="6" fillId="3" borderId="8" xfId="0" applyFont="1" applyFill="1" applyBorder="1" applyAlignment="1">
      <alignment horizontal="center" vertical="center"/>
    </xf>
    <xf numFmtId="0" fontId="12" fillId="0" borderId="0" xfId="0" applyFont="1"/>
    <xf numFmtId="0" fontId="6" fillId="0" borderId="13" xfId="0" applyFont="1" applyBorder="1"/>
    <xf numFmtId="0" fontId="14" fillId="0" borderId="13" xfId="0" applyFont="1" applyBorder="1"/>
    <xf numFmtId="0" fontId="14" fillId="0" borderId="4" xfId="0" applyFont="1" applyBorder="1"/>
    <xf numFmtId="0" fontId="15" fillId="0" borderId="8" xfId="0" applyFont="1" applyBorder="1"/>
    <xf numFmtId="0" fontId="16" fillId="0" borderId="8" xfId="0" applyFont="1" applyBorder="1"/>
    <xf numFmtId="0" fontId="17" fillId="0" borderId="15" xfId="0" applyFont="1" applyBorder="1"/>
    <xf numFmtId="0" fontId="17" fillId="0" borderId="13" xfId="0" applyFont="1" applyBorder="1"/>
    <xf numFmtId="0" fontId="1" fillId="0" borderId="16" xfId="2" applyBorder="1"/>
    <xf numFmtId="0" fontId="1" fillId="0" borderId="0" xfId="2"/>
    <xf numFmtId="0" fontId="1" fillId="0" borderId="16" xfId="2" applyBorder="1" applyAlignment="1">
      <alignment horizontal="center"/>
    </xf>
    <xf numFmtId="0" fontId="4" fillId="0" borderId="10" xfId="2" applyFont="1" applyBorder="1" applyAlignment="1">
      <alignment horizontal="center"/>
    </xf>
    <xf numFmtId="0" fontId="1" fillId="0" borderId="15" xfId="2" applyBorder="1"/>
    <xf numFmtId="0" fontId="6" fillId="0" borderId="17" xfId="0" applyFont="1" applyBorder="1"/>
    <xf numFmtId="0" fontId="6" fillId="0" borderId="18" xfId="0" applyFont="1" applyBorder="1"/>
    <xf numFmtId="0" fontId="6" fillId="0" borderId="19" xfId="0" applyFont="1" applyBorder="1"/>
    <xf numFmtId="0" fontId="6" fillId="0" borderId="20" xfId="0" applyFont="1" applyBorder="1"/>
    <xf numFmtId="16" fontId="6" fillId="0" borderId="17" xfId="0" applyNumberFormat="1" applyFont="1" applyBorder="1"/>
    <xf numFmtId="0" fontId="19" fillId="0" borderId="21" xfId="0" applyFont="1" applyBorder="1"/>
    <xf numFmtId="0" fontId="7" fillId="0" borderId="10" xfId="0" quotePrefix="1" applyFont="1" applyBorder="1" applyAlignment="1">
      <alignment horizontal="center"/>
    </xf>
    <xf numFmtId="0" fontId="1" fillId="0" borderId="0" xfId="2" applyAlignment="1">
      <alignment horizontal="center"/>
    </xf>
    <xf numFmtId="0" fontId="5" fillId="6" borderId="5" xfId="2" applyFont="1" applyFill="1" applyBorder="1"/>
    <xf numFmtId="0" fontId="1" fillId="0" borderId="5" xfId="2" applyBorder="1"/>
    <xf numFmtId="0" fontId="1" fillId="0" borderId="3" xfId="2" applyBorder="1"/>
    <xf numFmtId="0" fontId="1" fillId="0" borderId="3" xfId="2" applyBorder="1" applyAlignment="1">
      <alignment horizontal="right"/>
    </xf>
    <xf numFmtId="0" fontId="1" fillId="0" borderId="10" xfId="2" quotePrefix="1" applyBorder="1" applyAlignment="1">
      <alignment horizontal="center"/>
    </xf>
    <xf numFmtId="0" fontId="1" fillId="0" borderId="10" xfId="2" applyBorder="1" applyAlignment="1">
      <alignment horizontal="center"/>
    </xf>
    <xf numFmtId="0" fontId="4" fillId="0" borderId="8" xfId="2" applyFont="1" applyBorder="1"/>
    <xf numFmtId="0" fontId="1" fillId="5" borderId="0" xfId="2" applyFill="1" applyAlignment="1">
      <alignment horizontal="center"/>
    </xf>
    <xf numFmtId="0" fontId="1" fillId="3" borderId="0" xfId="2" applyFill="1" applyAlignment="1">
      <alignment horizontal="center"/>
    </xf>
    <xf numFmtId="0" fontId="1" fillId="4" borderId="0" xfId="2" applyFill="1" applyAlignment="1">
      <alignment horizontal="center"/>
    </xf>
    <xf numFmtId="0" fontId="1" fillId="8" borderId="0" xfId="2" applyFill="1" applyAlignment="1">
      <alignment horizontal="center"/>
    </xf>
    <xf numFmtId="0" fontId="1" fillId="9" borderId="0" xfId="2" applyFill="1" applyAlignment="1">
      <alignment horizontal="center"/>
    </xf>
    <xf numFmtId="0" fontId="1" fillId="10" borderId="0" xfId="2" applyFill="1" applyAlignment="1">
      <alignment horizontal="center"/>
    </xf>
    <xf numFmtId="0" fontId="1" fillId="0" borderId="8" xfId="2" applyBorder="1"/>
    <xf numFmtId="0" fontId="1" fillId="0" borderId="9" xfId="2" applyBorder="1"/>
    <xf numFmtId="0" fontId="1" fillId="0" borderId="14" xfId="2" applyBorder="1"/>
    <xf numFmtId="0" fontId="1" fillId="0" borderId="14" xfId="2" applyBorder="1" applyAlignment="1">
      <alignment horizontal="center"/>
    </xf>
    <xf numFmtId="0" fontId="4" fillId="0" borderId="6" xfId="0" applyFont="1" applyBorder="1"/>
    <xf numFmtId="0" fontId="4" fillId="0" borderId="5" xfId="2" applyFont="1" applyBorder="1"/>
    <xf numFmtId="0" fontId="1" fillId="0" borderId="3" xfId="2" applyBorder="1" applyAlignment="1">
      <alignment horizontal="center"/>
    </xf>
    <xf numFmtId="164" fontId="1" fillId="0" borderId="10" xfId="2" applyNumberFormat="1" applyBorder="1" applyAlignment="1">
      <alignment horizontal="center"/>
    </xf>
    <xf numFmtId="0" fontId="1" fillId="0" borderId="13" xfId="2" applyBorder="1"/>
    <xf numFmtId="0" fontId="6" fillId="0" borderId="23" xfId="0" applyFont="1" applyBorder="1"/>
    <xf numFmtId="0" fontId="6" fillId="0" borderId="23" xfId="0" applyFont="1" applyBorder="1" applyAlignment="1">
      <alignment horizontal="center" vertical="center"/>
    </xf>
    <xf numFmtId="0" fontId="6" fillId="0" borderId="25" xfId="0" applyFont="1" applyBorder="1"/>
    <xf numFmtId="0" fontId="12" fillId="0" borderId="25" xfId="0" applyFont="1" applyBorder="1"/>
    <xf numFmtId="0" fontId="6" fillId="0" borderId="16" xfId="0" applyFont="1" applyBorder="1"/>
    <xf numFmtId="0" fontId="10" fillId="0" borderId="0" xfId="0" applyFont="1"/>
    <xf numFmtId="0" fontId="19" fillId="0" borderId="16" xfId="0" applyFont="1" applyBorder="1" applyAlignment="1">
      <alignment vertical="center"/>
    </xf>
    <xf numFmtId="0" fontId="19" fillId="0" borderId="21" xfId="0" applyFont="1" applyBorder="1" applyAlignment="1">
      <alignment vertical="center"/>
    </xf>
    <xf numFmtId="0" fontId="6" fillId="0" borderId="0" xfId="0" applyFont="1" applyAlignment="1">
      <alignment vertical="center"/>
    </xf>
    <xf numFmtId="0" fontId="21" fillId="0" borderId="8" xfId="0" applyFont="1" applyBorder="1"/>
    <xf numFmtId="0" fontId="20" fillId="0" borderId="8" xfId="0" applyFont="1" applyBorder="1"/>
    <xf numFmtId="0" fontId="22" fillId="0" borderId="0" xfId="0" applyFont="1" applyAlignment="1">
      <alignment horizontal="center" vertical="center"/>
    </xf>
    <xf numFmtId="0" fontId="22" fillId="0" borderId="0" xfId="0" applyFont="1"/>
    <xf numFmtId="0" fontId="22" fillId="0" borderId="0" xfId="0" applyFont="1" applyAlignment="1">
      <alignment horizontal="center"/>
    </xf>
    <xf numFmtId="0" fontId="22" fillId="11" borderId="10" xfId="0" applyFont="1" applyFill="1" applyBorder="1" applyAlignment="1">
      <alignment horizontal="center" vertical="center"/>
    </xf>
    <xf numFmtId="0" fontId="22" fillId="11" borderId="13" xfId="0" applyFont="1" applyFill="1" applyBorder="1"/>
    <xf numFmtId="0" fontId="22" fillId="11" borderId="10" xfId="0" applyFont="1" applyFill="1" applyBorder="1" applyAlignment="1">
      <alignment horizontal="center"/>
    </xf>
    <xf numFmtId="0" fontId="22" fillId="0" borderId="7" xfId="0" applyFont="1" applyBorder="1" applyAlignment="1">
      <alignment horizontal="center" vertical="center"/>
    </xf>
    <xf numFmtId="0" fontId="22" fillId="0" borderId="7" xfId="0" applyFont="1" applyBorder="1" applyAlignment="1">
      <alignment horizontal="center"/>
    </xf>
    <xf numFmtId="0" fontId="22" fillId="0" borderId="11" xfId="0" applyFont="1" applyBorder="1" applyAlignment="1">
      <alignment horizontal="center" vertical="center"/>
    </xf>
    <xf numFmtId="0" fontId="22" fillId="0" borderId="14" xfId="0" applyFont="1" applyBorder="1"/>
    <xf numFmtId="0" fontId="22" fillId="0" borderId="11" xfId="0" applyFont="1" applyBorder="1" applyAlignment="1">
      <alignment horizontal="center"/>
    </xf>
    <xf numFmtId="0" fontId="2" fillId="0" borderId="16" xfId="3" applyBorder="1"/>
    <xf numFmtId="0" fontId="2" fillId="0" borderId="18" xfId="3" applyBorder="1"/>
    <xf numFmtId="0" fontId="2" fillId="0" borderId="26" xfId="3" applyBorder="1"/>
    <xf numFmtId="0" fontId="2" fillId="0" borderId="19" xfId="3" applyBorder="1"/>
    <xf numFmtId="0" fontId="2" fillId="0" borderId="20" xfId="3" applyBorder="1"/>
    <xf numFmtId="14" fontId="1" fillId="0" borderId="13" xfId="2" applyNumberFormat="1" applyBorder="1"/>
    <xf numFmtId="0" fontId="7" fillId="0" borderId="0" xfId="0" applyFont="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xf>
    <xf numFmtId="0" fontId="7" fillId="0" borderId="3" xfId="0" applyFont="1" applyBorder="1" applyAlignment="1">
      <alignment horizont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14" fontId="8" fillId="0" borderId="7" xfId="0" applyNumberFormat="1" applyFont="1" applyBorder="1" applyAlignment="1">
      <alignment horizontal="center" vertical="center"/>
    </xf>
    <xf numFmtId="14" fontId="7" fillId="0" borderId="7" xfId="0" applyNumberFormat="1" applyFont="1" applyBorder="1" applyAlignment="1">
      <alignment horizontal="center" vertical="center"/>
    </xf>
    <xf numFmtId="0" fontId="7" fillId="0" borderId="7" xfId="0" applyFont="1" applyBorder="1" applyAlignment="1" applyProtection="1">
      <alignment horizontal="center" vertical="center"/>
      <protection locked="0"/>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xf>
    <xf numFmtId="0" fontId="7" fillId="0" borderId="11" xfId="0" applyFont="1" applyBorder="1" applyAlignment="1">
      <alignment horizontal="center" vertical="center"/>
    </xf>
    <xf numFmtId="0" fontId="9" fillId="0" borderId="6" xfId="0" applyFont="1" applyBorder="1"/>
    <xf numFmtId="0" fontId="9" fillId="0" borderId="7" xfId="0" applyFont="1" applyBorder="1"/>
    <xf numFmtId="0" fontId="9" fillId="0" borderId="11" xfId="0" applyFont="1" applyBorder="1"/>
    <xf numFmtId="0" fontId="7" fillId="0" borderId="10" xfId="0" applyFont="1" applyBorder="1"/>
    <xf numFmtId="0" fontId="7" fillId="0" borderId="15" xfId="0" applyFont="1" applyBorder="1" applyAlignment="1">
      <alignment horizontal="center"/>
    </xf>
    <xf numFmtId="4" fontId="6" fillId="0" borderId="0" xfId="0" applyNumberFormat="1" applyFont="1" applyAlignment="1">
      <alignment vertical="center"/>
    </xf>
    <xf numFmtId="4" fontId="7" fillId="0" borderId="0" xfId="0" applyNumberFormat="1" applyFont="1" applyAlignment="1">
      <alignment vertical="center"/>
    </xf>
    <xf numFmtId="14" fontId="7" fillId="0" borderId="10" xfId="0" applyNumberFormat="1" applyFont="1" applyBorder="1" applyAlignment="1">
      <alignment horizontal="centerContinuous" vertical="center"/>
    </xf>
    <xf numFmtId="14" fontId="7" fillId="0" borderId="4" xfId="0" applyNumberFormat="1" applyFont="1" applyBorder="1" applyAlignment="1">
      <alignment horizontal="centerContinuous" vertical="center"/>
    </xf>
    <xf numFmtId="0" fontId="7" fillId="0" borderId="4" xfId="0" applyFont="1" applyBorder="1" applyAlignment="1">
      <alignment horizontal="center" vertical="center"/>
    </xf>
    <xf numFmtId="0" fontId="7" fillId="13" borderId="4" xfId="0" applyFont="1" applyFill="1" applyBorder="1" applyAlignment="1" applyProtection="1">
      <alignment horizontal="center" vertical="center"/>
      <protection locked="0"/>
    </xf>
    <xf numFmtId="0" fontId="7" fillId="13" borderId="13" xfId="0" applyFont="1" applyFill="1" applyBorder="1" applyAlignment="1" applyProtection="1">
      <alignment horizontal="center" vertical="center"/>
      <protection locked="0"/>
    </xf>
    <xf numFmtId="0" fontId="23" fillId="12" borderId="9" xfId="0" applyFont="1" applyFill="1" applyBorder="1" applyAlignment="1">
      <alignment horizontal="center"/>
    </xf>
    <xf numFmtId="0" fontId="23" fillId="12" borderId="11" xfId="0" applyFont="1" applyFill="1" applyBorder="1" applyAlignment="1">
      <alignment horizontal="center"/>
    </xf>
    <xf numFmtId="14" fontId="23" fillId="12" borderId="1" xfId="0" applyNumberFormat="1" applyFont="1" applyFill="1" applyBorder="1" applyAlignment="1">
      <alignment horizontal="center" vertical="center"/>
    </xf>
    <xf numFmtId="14" fontId="23" fillId="12" borderId="0" xfId="0" applyNumberFormat="1" applyFont="1" applyFill="1" applyAlignment="1">
      <alignment horizontal="center" vertical="center"/>
    </xf>
    <xf numFmtId="14" fontId="8" fillId="0" borderId="4" xfId="0" applyNumberFormat="1" applyFont="1" applyBorder="1" applyAlignment="1">
      <alignment horizontal="centerContinuous" vertical="center"/>
    </xf>
    <xf numFmtId="0" fontId="7" fillId="0" borderId="4" xfId="0" applyFont="1" applyBorder="1" applyAlignment="1">
      <alignment horizontal="right"/>
    </xf>
    <xf numFmtId="0" fontId="5" fillId="6" borderId="13" xfId="2" applyFont="1" applyFill="1" applyBorder="1"/>
    <xf numFmtId="0" fontId="1" fillId="6" borderId="13" xfId="2" applyFill="1" applyBorder="1"/>
    <xf numFmtId="0" fontId="5" fillId="6" borderId="13" xfId="2" applyFont="1" applyFill="1" applyBorder="1" applyAlignment="1">
      <alignment horizontal="centerContinuous"/>
    </xf>
    <xf numFmtId="0" fontId="1" fillId="6" borderId="13" xfId="2" applyFill="1" applyBorder="1" applyAlignment="1">
      <alignment horizontal="centerContinuous"/>
    </xf>
    <xf numFmtId="0" fontId="1" fillId="6" borderId="4" xfId="2" applyFill="1" applyBorder="1" applyAlignment="1">
      <alignment horizontal="centerContinuous"/>
    </xf>
    <xf numFmtId="0" fontId="1" fillId="6" borderId="2" xfId="2" applyFill="1" applyBorder="1" applyAlignment="1">
      <alignment horizontal="centerContinuous"/>
    </xf>
    <xf numFmtId="14" fontId="15" fillId="0" borderId="8" xfId="0" applyNumberFormat="1" applyFont="1" applyBorder="1"/>
    <xf numFmtId="14" fontId="13" fillId="0" borderId="22" xfId="0" applyNumberFormat="1" applyFont="1" applyBorder="1"/>
    <xf numFmtId="14" fontId="1" fillId="0" borderId="10" xfId="2" applyNumberFormat="1" applyBorder="1" applyAlignment="1">
      <alignment horizontal="center"/>
    </xf>
    <xf numFmtId="14" fontId="1" fillId="0" borderId="8" xfId="2" applyNumberFormat="1" applyBorder="1"/>
    <xf numFmtId="0" fontId="7" fillId="0" borderId="6" xfId="0" quotePrefix="1" applyFont="1" applyBorder="1" applyAlignment="1">
      <alignment horizontal="center"/>
    </xf>
    <xf numFmtId="0" fontId="6" fillId="0" borderId="3" xfId="0" applyFont="1" applyBorder="1"/>
    <xf numFmtId="0" fontId="6" fillId="0" borderId="2" xfId="0" applyFont="1" applyBorder="1"/>
    <xf numFmtId="0" fontId="6" fillId="0" borderId="14" xfId="0" applyFont="1" applyBorder="1"/>
    <xf numFmtId="0" fontId="6" fillId="0" borderId="13" xfId="0" applyFont="1" applyBorder="1" applyAlignment="1">
      <alignment horizontal="left" vertical="center"/>
    </xf>
    <xf numFmtId="0" fontId="6" fillId="0" borderId="12" xfId="0" applyFont="1" applyBorder="1"/>
    <xf numFmtId="16" fontId="1" fillId="0" borderId="10" xfId="2" quotePrefix="1" applyNumberFormat="1" applyBorder="1" applyAlignment="1">
      <alignment horizontal="center"/>
    </xf>
    <xf numFmtId="0" fontId="1" fillId="0" borderId="15" xfId="2" quotePrefix="1" applyBorder="1" applyAlignment="1">
      <alignment horizontal="center"/>
    </xf>
    <xf numFmtId="0" fontId="0" fillId="0" borderId="10" xfId="0" quotePrefix="1" applyBorder="1" applyAlignment="1">
      <alignment horizontal="center"/>
    </xf>
    <xf numFmtId="0" fontId="0" fillId="0" borderId="10" xfId="0" applyBorder="1" applyAlignment="1">
      <alignment horizontal="center"/>
    </xf>
    <xf numFmtId="0" fontId="6" fillId="0" borderId="4" xfId="0" applyFont="1" applyBorder="1"/>
    <xf numFmtId="0" fontId="6" fillId="0" borderId="1" xfId="0" applyFont="1" applyBorder="1"/>
    <xf numFmtId="0" fontId="0" fillId="0" borderId="3" xfId="0" applyBorder="1"/>
    <xf numFmtId="0" fontId="1" fillId="8" borderId="14" xfId="2" applyFill="1" applyBorder="1" applyAlignment="1">
      <alignment horizontal="center"/>
    </xf>
    <xf numFmtId="0" fontId="1" fillId="5" borderId="3" xfId="2" applyFill="1" applyBorder="1" applyAlignment="1">
      <alignment horizontal="center"/>
    </xf>
    <xf numFmtId="0" fontId="1" fillId="5" borderId="14" xfId="2" applyFill="1" applyBorder="1" applyAlignment="1">
      <alignment horizontal="center"/>
    </xf>
    <xf numFmtId="0" fontId="1" fillId="8" borderId="3" xfId="2" applyFill="1" applyBorder="1" applyAlignment="1">
      <alignment horizontal="center"/>
    </xf>
    <xf numFmtId="0" fontId="1" fillId="5" borderId="2" xfId="2" applyFill="1" applyBorder="1" applyAlignment="1">
      <alignment horizontal="center"/>
    </xf>
    <xf numFmtId="0" fontId="1" fillId="5" borderId="1" xfId="2" applyFill="1" applyBorder="1" applyAlignment="1">
      <alignment horizontal="center"/>
    </xf>
    <xf numFmtId="0" fontId="0" fillId="0" borderId="14" xfId="0" applyBorder="1"/>
    <xf numFmtId="0" fontId="1" fillId="0" borderId="12" xfId="2" applyBorder="1"/>
    <xf numFmtId="4" fontId="9" fillId="0" borderId="35" xfId="0" applyNumberFormat="1" applyFont="1" applyBorder="1" applyAlignment="1">
      <alignment horizontal="center" vertical="center" wrapText="1"/>
    </xf>
    <xf numFmtId="0" fontId="13" fillId="0" borderId="10" xfId="0" applyFont="1" applyBorder="1" applyAlignment="1">
      <alignment horizontal="center"/>
    </xf>
    <xf numFmtId="0" fontId="24" fillId="0" borderId="0" xfId="0" applyFont="1" applyAlignment="1">
      <alignment wrapText="1"/>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0" xfId="0" applyFont="1"/>
    <xf numFmtId="0" fontId="24" fillId="0" borderId="0" xfId="0" applyFont="1" applyAlignment="1">
      <alignment vertical="center"/>
    </xf>
    <xf numFmtId="0" fontId="7" fillId="0" borderId="2" xfId="0" applyFont="1" applyBorder="1" applyAlignment="1">
      <alignment horizontal="center" vertical="center"/>
    </xf>
    <xf numFmtId="0" fontId="7" fillId="0" borderId="7" xfId="0" quotePrefix="1" applyFont="1" applyBorder="1" applyAlignment="1">
      <alignment horizontal="center"/>
    </xf>
    <xf numFmtId="0" fontId="9" fillId="0" borderId="5" xfId="0" applyFont="1" applyBorder="1"/>
    <xf numFmtId="0" fontId="9" fillId="0" borderId="8" xfId="0" applyFont="1" applyBorder="1"/>
    <xf numFmtId="0" fontId="9" fillId="0" borderId="9" xfId="0" applyFont="1" applyBorder="1"/>
    <xf numFmtId="0" fontId="25" fillId="0" borderId="3" xfId="0" applyFont="1" applyBorder="1"/>
    <xf numFmtId="0" fontId="25" fillId="0" borderId="0" xfId="0" applyFont="1"/>
    <xf numFmtId="0" fontId="25" fillId="0" borderId="14" xfId="0" applyFont="1" applyBorder="1"/>
    <xf numFmtId="0" fontId="25" fillId="0" borderId="0" xfId="0" applyFont="1" applyAlignment="1">
      <alignment horizontal="center"/>
    </xf>
    <xf numFmtId="0" fontId="26" fillId="0" borderId="0" xfId="0" applyFont="1" applyAlignment="1">
      <alignment horizontal="right"/>
    </xf>
    <xf numFmtId="0" fontId="26" fillId="0" borderId="0" xfId="0" applyFont="1" applyAlignment="1">
      <alignment horizontal="center"/>
    </xf>
    <xf numFmtId="14" fontId="26" fillId="0" borderId="3" xfId="0" applyNumberFormat="1" applyFont="1" applyBorder="1" applyAlignment="1">
      <alignment horizontal="left"/>
    </xf>
    <xf numFmtId="0" fontId="25" fillId="0" borderId="0" xfId="0" applyFont="1" applyAlignment="1">
      <alignment horizontal="center" vertical="center"/>
    </xf>
    <xf numFmtId="0" fontId="24" fillId="0" borderId="10" xfId="0" applyFont="1" applyBorder="1" applyAlignment="1">
      <alignment horizontal="left"/>
    </xf>
    <xf numFmtId="0" fontId="24" fillId="0" borderId="10" xfId="0" applyFont="1" applyBorder="1"/>
    <xf numFmtId="14" fontId="26" fillId="0" borderId="0" xfId="0" applyNumberFormat="1" applyFont="1" applyAlignment="1">
      <alignment horizontal="left"/>
    </xf>
    <xf numFmtId="0" fontId="24" fillId="0" borderId="0" xfId="0" applyFont="1" applyAlignment="1">
      <alignment horizontal="left"/>
    </xf>
    <xf numFmtId="0" fontId="27" fillId="0" borderId="0" xfId="0" applyFont="1" applyAlignment="1">
      <alignment horizontal="center"/>
    </xf>
    <xf numFmtId="0" fontId="26" fillId="0" borderId="0" xfId="0" applyFont="1"/>
    <xf numFmtId="0" fontId="25" fillId="0" borderId="10" xfId="0" applyFont="1" applyBorder="1" applyAlignment="1">
      <alignment horizontal="center"/>
    </xf>
    <xf numFmtId="0" fontId="27" fillId="0" borderId="10" xfId="0" applyFont="1" applyBorder="1"/>
    <xf numFmtId="0" fontId="27" fillId="0" borderId="10" xfId="0" applyFont="1" applyBorder="1" applyAlignment="1">
      <alignment horizontal="center"/>
    </xf>
    <xf numFmtId="0" fontId="27" fillId="2" borderId="10" xfId="0" applyFont="1" applyFill="1" applyBorder="1" applyAlignment="1">
      <alignment horizontal="center"/>
    </xf>
    <xf numFmtId="0" fontId="25" fillId="2" borderId="10" xfId="0" applyFont="1" applyFill="1" applyBorder="1" applyAlignment="1">
      <alignment horizontal="center"/>
    </xf>
    <xf numFmtId="0" fontId="25" fillId="2" borderId="10" xfId="0" applyFont="1" applyFill="1" applyBorder="1" applyAlignment="1">
      <alignment horizontal="center" vertical="center"/>
    </xf>
    <xf numFmtId="0" fontId="25" fillId="0" borderId="6" xfId="0" applyFont="1" applyBorder="1" applyAlignment="1">
      <alignment horizontal="center"/>
    </xf>
    <xf numFmtId="0" fontId="25" fillId="0" borderId="6" xfId="0" applyFont="1" applyBorder="1"/>
    <xf numFmtId="0" fontId="25" fillId="0" borderId="2" xfId="0" applyFont="1" applyBorder="1" applyAlignment="1">
      <alignment horizontal="center"/>
    </xf>
    <xf numFmtId="0" fontId="25" fillId="0" borderId="6" xfId="0" applyFont="1" applyBorder="1" applyAlignment="1">
      <alignment horizontal="center" vertical="center"/>
    </xf>
    <xf numFmtId="0" fontId="25" fillId="0" borderId="7" xfId="0" applyFont="1" applyBorder="1" applyAlignment="1">
      <alignment horizontal="center"/>
    </xf>
    <xf numFmtId="0" fontId="25" fillId="0" borderId="7" xfId="0" applyFont="1" applyBorder="1"/>
    <xf numFmtId="0" fontId="25" fillId="0" borderId="1" xfId="0" applyFont="1" applyBorder="1" applyAlignment="1">
      <alignment horizontal="center"/>
    </xf>
    <xf numFmtId="0" fontId="25" fillId="0" borderId="7" xfId="0" applyFont="1" applyBorder="1" applyAlignment="1">
      <alignment horizontal="center" vertical="center"/>
    </xf>
    <xf numFmtId="0" fontId="25" fillId="0" borderId="11" xfId="0" applyFont="1" applyBorder="1" applyAlignment="1">
      <alignment horizontal="center"/>
    </xf>
    <xf numFmtId="0" fontId="25" fillId="0" borderId="11" xfId="0" applyFont="1" applyBorder="1"/>
    <xf numFmtId="0" fontId="25" fillId="0" borderId="12" xfId="0" applyFont="1" applyBorder="1" applyAlignment="1">
      <alignment horizontal="center"/>
    </xf>
    <xf numFmtId="0" fontId="25" fillId="0" borderId="11" xfId="0" applyFont="1" applyBorder="1" applyAlignment="1">
      <alignment horizontal="center" vertical="center"/>
    </xf>
    <xf numFmtId="0" fontId="25" fillId="2" borderId="6" xfId="0" applyFont="1" applyFill="1" applyBorder="1" applyAlignment="1">
      <alignment horizontal="center"/>
    </xf>
    <xf numFmtId="0" fontId="25" fillId="2" borderId="6" xfId="0" applyFont="1" applyFill="1" applyBorder="1" applyAlignment="1">
      <alignment horizontal="center" vertical="center"/>
    </xf>
    <xf numFmtId="0" fontId="25" fillId="0" borderId="5" xfId="0" applyFont="1" applyBorder="1" applyAlignment="1">
      <alignment horizontal="center"/>
    </xf>
    <xf numFmtId="0" fontId="25" fillId="0" borderId="8" xfId="0" applyFont="1" applyBorder="1" applyAlignment="1">
      <alignment horizontal="center"/>
    </xf>
    <xf numFmtId="0" fontId="25" fillId="0" borderId="9" xfId="0" applyFont="1" applyBorder="1" applyAlignment="1">
      <alignment horizontal="center"/>
    </xf>
    <xf numFmtId="0" fontId="27" fillId="2" borderId="6" xfId="0" applyFont="1" applyFill="1" applyBorder="1" applyAlignment="1">
      <alignment horizontal="center"/>
    </xf>
    <xf numFmtId="0" fontId="25" fillId="0" borderId="2" xfId="0" applyFont="1" applyBorder="1"/>
    <xf numFmtId="0" fontId="25" fillId="0" borderId="1" xfId="0" applyFont="1" applyBorder="1"/>
    <xf numFmtId="0" fontId="25" fillId="0" borderId="12" xfId="0" applyFont="1" applyBorder="1"/>
    <xf numFmtId="0" fontId="25" fillId="2" borderId="6" xfId="0" quotePrefix="1" applyFont="1" applyFill="1" applyBorder="1" applyAlignment="1">
      <alignment horizontal="center"/>
    </xf>
    <xf numFmtId="0" fontId="25" fillId="0" borderId="5" xfId="0" applyFont="1" applyBorder="1" applyAlignment="1">
      <alignment horizontal="center" vertical="center"/>
    </xf>
    <xf numFmtId="0" fontId="28" fillId="0" borderId="0" xfId="0" applyFont="1" applyAlignment="1">
      <alignment horizontal="center"/>
    </xf>
    <xf numFmtId="0" fontId="29" fillId="0" borderId="0" xfId="0" applyFont="1"/>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14" borderId="0" xfId="0" applyFont="1" applyFill="1" applyAlignment="1">
      <alignment horizontal="center"/>
    </xf>
    <xf numFmtId="0" fontId="28" fillId="14" borderId="0" xfId="0" applyFont="1" applyFill="1" applyAlignment="1">
      <alignment horizontal="center"/>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horizontal="left" vertical="center"/>
    </xf>
    <xf numFmtId="14" fontId="23" fillId="12" borderId="6" xfId="0" applyNumberFormat="1" applyFont="1" applyFill="1" applyBorder="1" applyAlignment="1">
      <alignment horizontal="center" vertical="center"/>
    </xf>
    <xf numFmtId="14" fontId="23" fillId="12" borderId="2" xfId="0" applyNumberFormat="1" applyFont="1" applyFill="1" applyBorder="1" applyAlignment="1">
      <alignment horizontal="center" vertical="center"/>
    </xf>
    <xf numFmtId="0" fontId="7" fillId="0" borderId="10" xfId="0" applyFont="1" applyBorder="1" applyAlignment="1" applyProtection="1">
      <alignment horizontal="center" vertical="center"/>
      <protection locked="0"/>
    </xf>
    <xf numFmtId="0" fontId="7" fillId="0" borderId="8" xfId="0" applyFont="1" applyBorder="1" applyAlignment="1">
      <alignment horizontal="center"/>
    </xf>
    <xf numFmtId="0" fontId="7" fillId="0" borderId="8" xfId="0" applyFont="1" applyBorder="1" applyAlignment="1">
      <alignment horizontal="center" vertical="center"/>
    </xf>
    <xf numFmtId="0" fontId="22" fillId="0" borderId="0" xfId="0" applyFont="1" applyAlignment="1">
      <alignment wrapText="1"/>
    </xf>
    <xf numFmtId="0" fontId="30" fillId="0" borderId="0" xfId="0" applyFont="1" applyAlignment="1">
      <alignment wrapText="1"/>
    </xf>
    <xf numFmtId="0" fontId="22" fillId="0" borderId="0" xfId="0" applyFont="1" applyAlignment="1">
      <alignment vertical="center" wrapText="1"/>
    </xf>
    <xf numFmtId="2" fontId="25" fillId="0" borderId="1" xfId="0" applyNumberFormat="1" applyFont="1" applyBorder="1" applyAlignment="1">
      <alignment horizontal="center"/>
    </xf>
    <xf numFmtId="0" fontId="1" fillId="0" borderId="15" xfId="2" applyBorder="1" applyAlignment="1">
      <alignment wrapText="1"/>
    </xf>
    <xf numFmtId="0" fontId="4" fillId="0" borderId="10" xfId="2" applyFont="1" applyBorder="1" applyAlignment="1">
      <alignment horizontal="center" vertical="center"/>
    </xf>
    <xf numFmtId="0" fontId="32" fillId="0" borderId="0" xfId="0" applyFont="1" applyAlignment="1">
      <alignment vertical="center"/>
    </xf>
    <xf numFmtId="0" fontId="0" fillId="0" borderId="0" xfId="0" applyAlignment="1">
      <alignment wrapText="1"/>
    </xf>
    <xf numFmtId="0" fontId="1" fillId="0" borderId="15" xfId="2" applyBorder="1" applyAlignment="1">
      <alignment horizontal="left" vertical="center" wrapText="1"/>
    </xf>
    <xf numFmtId="0" fontId="33" fillId="0" borderId="0" xfId="0" applyFont="1" applyAlignment="1">
      <alignment wrapText="1"/>
    </xf>
    <xf numFmtId="0" fontId="34" fillId="0" borderId="0" xfId="0" applyFont="1" applyAlignment="1">
      <alignment wrapText="1"/>
    </xf>
    <xf numFmtId="0" fontId="35" fillId="0" borderId="6" xfId="0" applyFont="1" applyBorder="1" applyAlignment="1">
      <alignment horizontal="center"/>
    </xf>
    <xf numFmtId="0" fontId="35" fillId="0" borderId="0" xfId="0" applyFont="1"/>
    <xf numFmtId="14" fontId="1" fillId="0" borderId="13" xfId="2" applyNumberFormat="1" applyBorder="1" applyAlignment="1"/>
    <xf numFmtId="0" fontId="1" fillId="0" borderId="15" xfId="2" applyFont="1" applyBorder="1" applyAlignment="1">
      <alignment horizontal="left" vertical="center" wrapText="1"/>
    </xf>
    <xf numFmtId="0" fontId="36" fillId="0" borderId="10" xfId="2" applyFont="1" applyBorder="1" applyAlignment="1">
      <alignment horizontal="center"/>
    </xf>
    <xf numFmtId="0" fontId="36" fillId="0" borderId="0" xfId="2" applyFont="1"/>
    <xf numFmtId="0" fontId="36" fillId="0" borderId="0" xfId="2" applyFont="1" applyAlignment="1">
      <alignment horizontal="center"/>
    </xf>
    <xf numFmtId="0" fontId="7" fillId="0" borderId="8" xfId="0" applyFont="1" applyBorder="1"/>
    <xf numFmtId="0" fontId="7" fillId="0" borderId="1" xfId="0" applyFont="1" applyBorder="1"/>
    <xf numFmtId="0" fontId="7" fillId="0" borderId="9" xfId="0" applyFont="1" applyBorder="1" applyAlignment="1">
      <alignment horizontal="center"/>
    </xf>
    <xf numFmtId="0" fontId="7" fillId="0" borderId="7" xfId="0" applyFont="1" applyBorder="1"/>
    <xf numFmtId="0" fontId="2" fillId="7" borderId="27" xfId="3" applyFill="1" applyBorder="1" applyAlignment="1">
      <alignment horizontal="center" vertical="top" wrapText="1"/>
    </xf>
    <xf numFmtId="0" fontId="2" fillId="7" borderId="28" xfId="3" applyFill="1" applyBorder="1" applyAlignment="1">
      <alignment horizontal="center" vertical="top" wrapText="1"/>
    </xf>
    <xf numFmtId="0" fontId="2" fillId="7" borderId="29" xfId="3" applyFill="1" applyBorder="1" applyAlignment="1">
      <alignment horizontal="center" vertical="top" wrapText="1"/>
    </xf>
    <xf numFmtId="0" fontId="2" fillId="7" borderId="30" xfId="3" applyFill="1" applyBorder="1" applyAlignment="1">
      <alignment horizontal="center" vertical="top" wrapText="1"/>
    </xf>
    <xf numFmtId="0" fontId="2" fillId="7" borderId="0" xfId="3" applyFill="1" applyAlignment="1">
      <alignment horizontal="center" vertical="top" wrapText="1"/>
    </xf>
    <xf numFmtId="0" fontId="2" fillId="7" borderId="31" xfId="3" applyFill="1" applyBorder="1" applyAlignment="1">
      <alignment horizontal="center" vertical="top" wrapText="1"/>
    </xf>
    <xf numFmtId="0" fontId="2" fillId="7" borderId="32" xfId="3" applyFill="1" applyBorder="1" applyAlignment="1">
      <alignment horizontal="center" vertical="top" wrapText="1"/>
    </xf>
    <xf numFmtId="0" fontId="2" fillId="7" borderId="33" xfId="3" applyFill="1" applyBorder="1" applyAlignment="1">
      <alignment horizontal="center" vertical="top" wrapText="1"/>
    </xf>
    <xf numFmtId="0" fontId="2" fillId="7" borderId="34" xfId="3" applyFill="1" applyBorder="1" applyAlignment="1">
      <alignment horizontal="center" vertical="top"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1" fillId="0" borderId="7" xfId="0" applyFont="1" applyBorder="1" applyAlignment="1">
      <alignment horizontal="center" vertical="center"/>
    </xf>
    <xf numFmtId="0" fontId="11" fillId="0" borderId="11" xfId="0" applyFont="1" applyBorder="1" applyAlignment="1">
      <alignment horizontal="center" vertical="center"/>
    </xf>
  </cellXfs>
  <cellStyles count="4">
    <cellStyle name="Normal" xfId="0" builtinId="0"/>
    <cellStyle name="Normal 2" xfId="1" xr:uid="{00000000-0005-0000-0000-000001000000}"/>
    <cellStyle name="Normal_P241 cortec" xfId="2" xr:uid="{00000000-0005-0000-0000-000002000000}"/>
    <cellStyle name="Normal_Template" xfId="3" xr:uid="{00000000-0005-0000-0000-000003000000}"/>
  </cellStyles>
  <dxfs count="1">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ist" dx="16" fmlaLink="Language!$A$3" fmlaRange="Language!$B$4:$B$6" noThreeD="1" sel="1" val="0"/>
</file>

<file path=xl/ctrlProps/ctrlProp10.xml><?xml version="1.0" encoding="utf-8"?>
<formControlPr xmlns="http://schemas.microsoft.com/office/spreadsheetml/2009/9/main" objectType="CheckBox" checked="Checked" fmlaLink="Database!$J$98" lockText="1"/>
</file>

<file path=xl/ctrlProps/ctrlProp11.xml><?xml version="1.0" encoding="utf-8"?>
<formControlPr xmlns="http://schemas.microsoft.com/office/spreadsheetml/2009/9/main" objectType="CheckBox" fmlaLink="Database!$J$99" lockText="1"/>
</file>

<file path=xl/ctrlProps/ctrlProp12.xml><?xml version="1.0" encoding="utf-8"?>
<formControlPr xmlns="http://schemas.microsoft.com/office/spreadsheetml/2009/9/main" objectType="CheckBox" fmlaLink="Database!$J$89" lockText="1"/>
</file>

<file path=xl/ctrlProps/ctrlProp13.xml><?xml version="1.0" encoding="utf-8"?>
<formControlPr xmlns="http://schemas.microsoft.com/office/spreadsheetml/2009/9/main" objectType="List" dx="16" fmlaLink="Database!$E$109" fmlaRange="Database!$F$110" noThreeD="1" sel="1" val="0"/>
</file>

<file path=xl/ctrlProps/ctrlProp14.xml><?xml version="1.0" encoding="utf-8"?>
<formControlPr xmlns="http://schemas.microsoft.com/office/spreadsheetml/2009/9/main" objectType="List" dx="16" fmlaLink="Database!$E$121" fmlaRange="Database!$F$122" noThreeD="1" sel="1" val="0"/>
</file>

<file path=xl/ctrlProps/ctrlProp15.xml><?xml version="1.0" encoding="utf-8"?>
<formControlPr xmlns="http://schemas.microsoft.com/office/spreadsheetml/2009/9/main" objectType="List" dx="16" fmlaLink="Database!$E$133" fmlaRange="Database!$F$134" noThreeD="1" sel="1" val="0"/>
</file>

<file path=xl/ctrlProps/ctrlProp16.xml><?xml version="1.0" encoding="utf-8"?>
<formControlPr xmlns="http://schemas.microsoft.com/office/spreadsheetml/2009/9/main" objectType="List" dx="16" fmlaLink="Database!$E$145" fmlaRange="Database!$F$146" noThreeD="1" sel="1" val="0"/>
</file>

<file path=xl/ctrlProps/ctrlProp17.xml><?xml version="1.0" encoding="utf-8"?>
<formControlPr xmlns="http://schemas.microsoft.com/office/spreadsheetml/2009/9/main" objectType="CheckBox" fmlaLink="Database!$J$87" lockText="1"/>
</file>

<file path=xl/ctrlProps/ctrlProp18.xml><?xml version="1.0" encoding="utf-8"?>
<formControlPr xmlns="http://schemas.microsoft.com/office/spreadsheetml/2009/9/main" objectType="CheckBox" fmlaLink="Database!$J$100" lockText="1"/>
</file>

<file path=xl/ctrlProps/ctrlProp19.xml><?xml version="1.0" encoding="utf-8"?>
<formControlPr xmlns="http://schemas.microsoft.com/office/spreadsheetml/2009/9/main" objectType="CheckBox" fmlaLink="Database!$J$101" lockText="1"/>
</file>

<file path=xl/ctrlProps/ctrlProp2.xml><?xml version="1.0" encoding="utf-8"?>
<formControlPr xmlns="http://schemas.microsoft.com/office/spreadsheetml/2009/9/main" objectType="List" dx="16" fmlaLink="Database!$E$5" fmlaRange="Database!$F$6:$F$7" noThreeD="1" sel="1" val="0"/>
</file>

<file path=xl/ctrlProps/ctrlProp3.xml><?xml version="1.0" encoding="utf-8"?>
<formControlPr xmlns="http://schemas.microsoft.com/office/spreadsheetml/2009/9/main" objectType="List" dx="16" fmlaLink="Database!$E$10" fmlaRange="Database!$F$11:$F$12" noThreeD="1" sel="2" val="0"/>
</file>

<file path=xl/ctrlProps/ctrlProp4.xml><?xml version="1.0" encoding="utf-8"?>
<formControlPr xmlns="http://schemas.microsoft.com/office/spreadsheetml/2009/9/main" objectType="List" dx="16" fmlaLink="Database!$E$14" fmlaRange="Database!$F$15:$F$19" noThreeD="1" sel="3" val="0"/>
</file>

<file path=xl/ctrlProps/ctrlProp5.xml><?xml version="1.0" encoding="utf-8"?>
<formControlPr xmlns="http://schemas.microsoft.com/office/spreadsheetml/2009/9/main" objectType="List" dx="16" fmlaLink="Database!$E$26" fmlaRange="Database!$F$27:$F$31" noThreeD="1" sel="3" val="0"/>
</file>

<file path=xl/ctrlProps/ctrlProp6.xml><?xml version="1.0" encoding="utf-8"?>
<formControlPr xmlns="http://schemas.microsoft.com/office/spreadsheetml/2009/9/main" objectType="List" dx="16" fmlaLink="Database!$E$38" fmlaRange="Database!$F$39:$F$47" noThreeD="1" sel="7" val="0"/>
</file>

<file path=xl/ctrlProps/ctrlProp7.xml><?xml version="1.0" encoding="utf-8"?>
<formControlPr xmlns="http://schemas.microsoft.com/office/spreadsheetml/2009/9/main" objectType="List" dx="16" fmlaLink="Database!$E$50" fmlaRange="Database!$F$51:$F$59" noThreeD="1" sel="7" val="0"/>
</file>

<file path=xl/ctrlProps/ctrlProp8.xml><?xml version="1.0" encoding="utf-8"?>
<formControlPr xmlns="http://schemas.microsoft.com/office/spreadsheetml/2009/9/main" objectType="List" dx="16" fmlaLink="Database!$E$62" fmlaRange="Database!$F$63:$F$71" noThreeD="1" sel="7" val="0"/>
</file>

<file path=xl/ctrlProps/ctrlProp9.xml><?xml version="1.0" encoding="utf-8"?>
<formControlPr xmlns="http://schemas.microsoft.com/office/spreadsheetml/2009/9/main" objectType="List" dx="16" fmlaLink="Database!$E$74" fmlaRange="Database!$F$75:$F$83" noThreeD="1" sel="7"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47625</xdr:rowOff>
        </xdr:from>
        <xdr:to>
          <xdr:col>3</xdr:col>
          <xdr:colOff>752475</xdr:colOff>
          <xdr:row>15</xdr:row>
          <xdr:rowOff>0</xdr:rowOff>
        </xdr:to>
        <xdr:sp macro="" textlink="">
          <xdr:nvSpPr>
            <xdr:cNvPr id="5121" name="List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6</xdr:col>
          <xdr:colOff>0</xdr:colOff>
          <xdr:row>5</xdr:row>
          <xdr:rowOff>0</xdr:rowOff>
        </xdr:to>
        <xdr:sp macro="" textlink="">
          <xdr:nvSpPr>
            <xdr:cNvPr id="8194" name="List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6</xdr:col>
          <xdr:colOff>0</xdr:colOff>
          <xdr:row>7</xdr:row>
          <xdr:rowOff>0</xdr:rowOff>
        </xdr:to>
        <xdr:sp macro="" textlink="">
          <xdr:nvSpPr>
            <xdr:cNvPr id="8197" name="List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228600</xdr:rowOff>
        </xdr:from>
        <xdr:to>
          <xdr:col>6</xdr:col>
          <xdr:colOff>0</xdr:colOff>
          <xdr:row>8</xdr:row>
          <xdr:rowOff>752475</xdr:rowOff>
        </xdr:to>
        <xdr:sp macro="" textlink="">
          <xdr:nvSpPr>
            <xdr:cNvPr id="8199" name="List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6</xdr:col>
          <xdr:colOff>0</xdr:colOff>
          <xdr:row>10</xdr:row>
          <xdr:rowOff>685800</xdr:rowOff>
        </xdr:to>
        <xdr:sp macro="" textlink="">
          <xdr:nvSpPr>
            <xdr:cNvPr id="8201" name="List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228600</xdr:rowOff>
        </xdr:from>
        <xdr:to>
          <xdr:col>6</xdr:col>
          <xdr:colOff>0</xdr:colOff>
          <xdr:row>13</xdr:row>
          <xdr:rowOff>0</xdr:rowOff>
        </xdr:to>
        <xdr:sp macro="" textlink="">
          <xdr:nvSpPr>
            <xdr:cNvPr id="8203" name="List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228600</xdr:rowOff>
        </xdr:from>
        <xdr:to>
          <xdr:col>6</xdr:col>
          <xdr:colOff>0</xdr:colOff>
          <xdr:row>14</xdr:row>
          <xdr:rowOff>1266825</xdr:rowOff>
        </xdr:to>
        <xdr:sp macro="" textlink="">
          <xdr:nvSpPr>
            <xdr:cNvPr id="8205" name="List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6</xdr:col>
          <xdr:colOff>0</xdr:colOff>
          <xdr:row>17</xdr:row>
          <xdr:rowOff>0</xdr:rowOff>
        </xdr:to>
        <xdr:sp macro="" textlink="">
          <xdr:nvSpPr>
            <xdr:cNvPr id="8207" name="List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228600</xdr:rowOff>
        </xdr:from>
        <xdr:to>
          <xdr:col>6</xdr:col>
          <xdr:colOff>0</xdr:colOff>
          <xdr:row>19</xdr:row>
          <xdr:rowOff>0</xdr:rowOff>
        </xdr:to>
        <xdr:sp macro="" textlink="">
          <xdr:nvSpPr>
            <xdr:cNvPr id="8209" name="List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9525</xdr:rowOff>
        </xdr:from>
        <xdr:to>
          <xdr:col>1</xdr:col>
          <xdr:colOff>47625</xdr:colOff>
          <xdr:row>21</xdr:row>
          <xdr:rowOff>228600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9525</xdr:rowOff>
        </xdr:from>
        <xdr:to>
          <xdr:col>1</xdr:col>
          <xdr:colOff>47625</xdr:colOff>
          <xdr:row>23</xdr:row>
          <xdr:rowOff>19050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9525</xdr:rowOff>
        </xdr:from>
        <xdr:to>
          <xdr:col>1</xdr:col>
          <xdr:colOff>47625</xdr:colOff>
          <xdr:row>23</xdr:row>
          <xdr:rowOff>247650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5</xdr:col>
          <xdr:colOff>514350</xdr:colOff>
          <xdr:row>27</xdr:row>
          <xdr:rowOff>0</xdr:rowOff>
        </xdr:to>
        <xdr:sp macro="" textlink="">
          <xdr:nvSpPr>
            <xdr:cNvPr id="8218" name="List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0</xdr:rowOff>
        </xdr:to>
        <xdr:sp macro="" textlink="">
          <xdr:nvSpPr>
            <xdr:cNvPr id="8219" name="List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200025</xdr:rowOff>
        </xdr:from>
        <xdr:to>
          <xdr:col>6</xdr:col>
          <xdr:colOff>0</xdr:colOff>
          <xdr:row>31</xdr:row>
          <xdr:rowOff>0</xdr:rowOff>
        </xdr:to>
        <xdr:sp macro="" textlink="">
          <xdr:nvSpPr>
            <xdr:cNvPr id="8220" name="List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200025</xdr:rowOff>
        </xdr:from>
        <xdr:to>
          <xdr:col>6</xdr:col>
          <xdr:colOff>0</xdr:colOff>
          <xdr:row>33</xdr:row>
          <xdr:rowOff>0</xdr:rowOff>
        </xdr:to>
        <xdr:sp macro="" textlink="">
          <xdr:nvSpPr>
            <xdr:cNvPr id="8221" name="List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28575</xdr:rowOff>
        </xdr:from>
        <xdr:to>
          <xdr:col>1</xdr:col>
          <xdr:colOff>47625</xdr:colOff>
          <xdr:row>20</xdr:row>
          <xdr:rowOff>247650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9525</xdr:rowOff>
        </xdr:from>
        <xdr:to>
          <xdr:col>1</xdr:col>
          <xdr:colOff>47625</xdr:colOff>
          <xdr:row>23</xdr:row>
          <xdr:rowOff>247650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9525</xdr:rowOff>
        </xdr:from>
        <xdr:to>
          <xdr:col>1</xdr:col>
          <xdr:colOff>47625</xdr:colOff>
          <xdr:row>24</xdr:row>
          <xdr:rowOff>247650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fitToPage="1"/>
  </sheetPr>
  <dimension ref="B2:J15"/>
  <sheetViews>
    <sheetView showGridLines="0" showRowColHeaders="0" tabSelected="1" workbookViewId="0">
      <selection activeCell="I18" sqref="I18:J18"/>
    </sheetView>
  </sheetViews>
  <sheetFormatPr defaultColWidth="10.28515625" defaultRowHeight="14.25" x14ac:dyDescent="0.2"/>
  <cols>
    <col min="1" max="1" width="4.140625" style="1" customWidth="1"/>
    <col min="2" max="9" width="11.42578125" style="1" customWidth="1"/>
    <col min="10" max="10" width="46" style="1" customWidth="1"/>
    <col min="11" max="16384" width="10.28515625" style="1"/>
  </cols>
  <sheetData>
    <row r="2" spans="2:10" ht="15" thickBot="1" x14ac:dyDescent="0.25"/>
    <row r="3" spans="2:10" ht="15" customHeight="1" thickTop="1" x14ac:dyDescent="0.2">
      <c r="B3" s="249" t="str">
        <f>HLOOKUP(Language!$C$3,Language!$E$1:$Z564,33,FALSE)</f>
        <v xml:space="preserve">Our policy is one of continuous development. Accordingly the design of our products may change at any time. </v>
      </c>
      <c r="C3" s="250"/>
      <c r="D3" s="250"/>
      <c r="E3" s="250"/>
      <c r="F3" s="250"/>
      <c r="G3" s="250"/>
      <c r="H3" s="250"/>
      <c r="I3" s="250"/>
      <c r="J3" s="251"/>
    </row>
    <row r="4" spans="2:10" ht="14.25" customHeight="1" x14ac:dyDescent="0.2">
      <c r="B4" s="252" t="str">
        <f>HLOOKUP(Language!$C$3,Language!$E$1:$Z564,34,FALSE)</f>
        <v>Whilst every effort is made to produce up to date literature, this document should only be regarded as a guide and is intended for information purposes only.</v>
      </c>
      <c r="C4" s="253"/>
      <c r="D4" s="253"/>
      <c r="E4" s="253"/>
      <c r="F4" s="253"/>
      <c r="G4" s="253"/>
      <c r="H4" s="253"/>
      <c r="I4" s="253"/>
      <c r="J4" s="254"/>
    </row>
    <row r="5" spans="2:10" x14ac:dyDescent="0.2">
      <c r="B5" s="252"/>
      <c r="C5" s="253"/>
      <c r="D5" s="253"/>
      <c r="E5" s="253"/>
      <c r="F5" s="253"/>
      <c r="G5" s="253"/>
      <c r="H5" s="253"/>
      <c r="I5" s="253"/>
      <c r="J5" s="254"/>
    </row>
    <row r="6" spans="2:10" ht="14.25" customHeight="1" x14ac:dyDescent="0.2">
      <c r="B6" s="252" t="str">
        <f>HLOOKUP(Language!$C$3,Language!$E$1:$Z564,35,FALSE)</f>
        <v>Its contents do not constitute an offer for sale or advice on the application of any product referred to in it. We cannot be held responsible for any reliance on any decisions taken on its contents without specific advice.</v>
      </c>
      <c r="C6" s="253"/>
      <c r="D6" s="253"/>
      <c r="E6" s="253"/>
      <c r="F6" s="253"/>
      <c r="G6" s="253"/>
      <c r="H6" s="253"/>
      <c r="I6" s="253"/>
      <c r="J6" s="254"/>
    </row>
    <row r="7" spans="2:10" x14ac:dyDescent="0.2">
      <c r="B7" s="252"/>
      <c r="C7" s="253"/>
      <c r="D7" s="253"/>
      <c r="E7" s="253"/>
      <c r="F7" s="253"/>
      <c r="G7" s="253"/>
      <c r="H7" s="253"/>
      <c r="I7" s="253"/>
      <c r="J7" s="254"/>
    </row>
    <row r="8" spans="2:10" ht="3.75" customHeight="1" thickBot="1" x14ac:dyDescent="0.25">
      <c r="B8" s="255"/>
      <c r="C8" s="256"/>
      <c r="D8" s="256"/>
      <c r="E8" s="256"/>
      <c r="F8" s="256"/>
      <c r="G8" s="256"/>
      <c r="H8" s="256"/>
      <c r="I8" s="256"/>
      <c r="J8" s="257"/>
    </row>
    <row r="9" spans="2:10" ht="15" thickTop="1" x14ac:dyDescent="0.2"/>
    <row r="10" spans="2:10" ht="15" thickBot="1" x14ac:dyDescent="0.25"/>
    <row r="11" spans="2:10" ht="15.75" x14ac:dyDescent="0.2">
      <c r="B11" s="258" t="str">
        <f>HLOOKUP(Language!$C$3,Language!$E$1:$Z564,32,FALSE)</f>
        <v>Language Selection</v>
      </c>
      <c r="C11" s="259"/>
      <c r="D11" s="260"/>
    </row>
    <row r="12" spans="2:10" x14ac:dyDescent="0.2">
      <c r="B12" s="87"/>
      <c r="D12" s="88"/>
    </row>
    <row r="13" spans="2:10" x14ac:dyDescent="0.2">
      <c r="B13" s="87"/>
      <c r="D13" s="88"/>
    </row>
    <row r="14" spans="2:10" x14ac:dyDescent="0.2">
      <c r="B14" s="87"/>
      <c r="D14" s="88"/>
    </row>
    <row r="15" spans="2:10" ht="15" thickBot="1" x14ac:dyDescent="0.25">
      <c r="B15" s="89"/>
      <c r="C15" s="90"/>
      <c r="D15" s="91"/>
    </row>
  </sheetData>
  <mergeCells count="4">
    <mergeCell ref="B3:J3"/>
    <mergeCell ref="B4:J5"/>
    <mergeCell ref="B6:J8"/>
    <mergeCell ref="B11:D11"/>
  </mergeCells>
  <phoneticPr fontId="18" type="noConversion"/>
  <pageMargins left="0.75" right="0.75" top="1" bottom="1" header="0.5" footer="0.5"/>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List Box 1">
              <controlPr defaultSize="0" autoLine="0" autoPict="0">
                <anchor moveWithCells="1">
                  <from>
                    <xdr:col>1</xdr:col>
                    <xdr:colOff>0</xdr:colOff>
                    <xdr:row>11</xdr:row>
                    <xdr:rowOff>47625</xdr:rowOff>
                  </from>
                  <to>
                    <xdr:col>3</xdr:col>
                    <xdr:colOff>752475</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92"/>
  <sheetViews>
    <sheetView showGridLines="0" showRowColHeaders="0" workbookViewId="0">
      <pane ySplit="6" topLeftCell="A79" activePane="bottomLeft" state="frozen"/>
      <selection pane="bottomLeft" activeCell="A84" sqref="A84"/>
    </sheetView>
  </sheetViews>
  <sheetFormatPr defaultColWidth="9.140625" defaultRowHeight="12.75" x14ac:dyDescent="0.2"/>
  <cols>
    <col min="1" max="1" width="11.140625" style="31" customWidth="1"/>
    <col min="2" max="2" width="19" style="31" customWidth="1"/>
    <col min="3" max="3" width="33.5703125" style="31" customWidth="1"/>
    <col min="4" max="4" width="18.85546875" style="42" customWidth="1"/>
    <col min="5" max="5" width="2" style="42" bestFit="1" customWidth="1"/>
    <col min="6" max="6" width="2.28515625" style="42" bestFit="1" customWidth="1"/>
    <col min="7" max="7" width="3.5703125" style="42" bestFit="1" customWidth="1"/>
    <col min="8" max="8" width="4.5703125" style="42" bestFit="1" customWidth="1"/>
    <col min="9" max="12" width="5.5703125" style="42" bestFit="1" customWidth="1"/>
    <col min="13" max="13" width="5.7109375" style="42" bestFit="1" customWidth="1"/>
    <col min="14" max="14" width="2.7109375" style="42" customWidth="1"/>
    <col min="15" max="15" width="5.7109375" style="31" bestFit="1" customWidth="1"/>
    <col min="16" max="17" width="3" style="31" bestFit="1" customWidth="1"/>
    <col min="18" max="16384" width="9.140625" style="31"/>
  </cols>
  <sheetData>
    <row r="1" spans="1:17" x14ac:dyDescent="0.2">
      <c r="A1" s="31" t="str">
        <f>HLOOKUP(Language!$C$3,Language!$E$1:$Z564,36,FALSE)</f>
        <v>Information required with order:</v>
      </c>
    </row>
    <row r="3" spans="1:17" x14ac:dyDescent="0.2">
      <c r="A3" s="43" t="str">
        <f>HLOOKUP(Language!$C$3,Language!$E$1:$Z564,37,FALSE)</f>
        <v>Variants</v>
      </c>
      <c r="B3" s="126"/>
      <c r="C3" s="127"/>
      <c r="D3" s="128" t="str">
        <f>HLOOKUP(Language!$C$3,Language!$E$1:$Z564,38,FALSE)</f>
        <v>Order Number</v>
      </c>
      <c r="E3" s="129"/>
      <c r="F3" s="129"/>
      <c r="G3" s="129"/>
      <c r="H3" s="129"/>
      <c r="I3" s="129"/>
      <c r="J3" s="130"/>
      <c r="K3" s="131"/>
      <c r="L3" s="131"/>
      <c r="M3" s="131"/>
      <c r="N3" s="131"/>
      <c r="O3" s="131"/>
      <c r="P3" s="131"/>
      <c r="Q3" s="131"/>
    </row>
    <row r="4" spans="1:17" ht="15" x14ac:dyDescent="0.25">
      <c r="A4" s="44"/>
      <c r="B4" s="45"/>
      <c r="C4" s="46"/>
      <c r="D4" s="47" t="s">
        <v>113</v>
      </c>
      <c r="E4" s="48">
        <v>5</v>
      </c>
      <c r="F4" s="47">
        <v>6</v>
      </c>
      <c r="G4" s="47" t="s">
        <v>114</v>
      </c>
      <c r="H4" s="47" t="s">
        <v>115</v>
      </c>
      <c r="I4" s="47" t="s">
        <v>116</v>
      </c>
      <c r="J4" s="142" t="s">
        <v>117</v>
      </c>
      <c r="K4" s="143" t="s">
        <v>118</v>
      </c>
      <c r="L4" s="47" t="s">
        <v>119</v>
      </c>
      <c r="M4" s="144" t="s">
        <v>120</v>
      </c>
      <c r="N4" s="144">
        <v>21</v>
      </c>
      <c r="O4" s="145" t="s">
        <v>121</v>
      </c>
      <c r="P4" s="145">
        <v>24</v>
      </c>
      <c r="Q4" s="145">
        <v>25</v>
      </c>
    </row>
    <row r="5" spans="1:17" x14ac:dyDescent="0.2">
      <c r="A5" s="49" t="str">
        <f>Database!B2</f>
        <v>Model type:</v>
      </c>
      <c r="D5" s="50"/>
      <c r="E5" s="51"/>
      <c r="F5" s="52"/>
      <c r="G5" s="50"/>
      <c r="H5" s="53"/>
      <c r="I5" s="54"/>
      <c r="J5" s="55"/>
      <c r="K5" s="53"/>
      <c r="L5" s="54"/>
      <c r="M5" s="50"/>
      <c r="N5" s="152"/>
      <c r="O5" s="150"/>
      <c r="P5" s="152"/>
      <c r="Q5" s="153"/>
    </row>
    <row r="6" spans="1:17" x14ac:dyDescent="0.2">
      <c r="A6" s="135" t="str">
        <f ca="1">Database!F2</f>
        <v>DR60 Digital Recorder</v>
      </c>
      <c r="D6" s="134" t="str">
        <f ca="1">Database!F3</f>
        <v>DR60</v>
      </c>
      <c r="E6" s="51"/>
      <c r="F6" s="52"/>
      <c r="G6" s="50"/>
      <c r="H6" s="53"/>
      <c r="I6" s="54"/>
      <c r="J6" s="55"/>
      <c r="K6" s="53"/>
      <c r="L6" s="54"/>
      <c r="M6" s="50"/>
      <c r="N6" s="53"/>
      <c r="O6" s="50"/>
      <c r="P6" s="53"/>
      <c r="Q6" s="154"/>
    </row>
    <row r="7" spans="1:17" x14ac:dyDescent="0.2">
      <c r="A7" s="49" t="str">
        <f>Database!B5</f>
        <v>Slot A - Power Supply</v>
      </c>
      <c r="E7" s="51"/>
      <c r="F7" s="52"/>
      <c r="G7" s="50"/>
      <c r="H7" s="53"/>
      <c r="I7" s="54"/>
      <c r="J7" s="55"/>
      <c r="K7" s="53"/>
      <c r="L7" s="54"/>
      <c r="M7" s="50"/>
      <c r="N7" s="53"/>
      <c r="O7" s="50"/>
      <c r="P7" s="53"/>
      <c r="Q7" s="154"/>
    </row>
    <row r="8" spans="1:17" x14ac:dyDescent="0.2">
      <c r="A8" s="56" t="str">
        <f ca="1">IF(INDEX(INDIRECT(Database!$L$1&amp;":"&amp;Database!$L$2),Database!$C6,1)=0,"",INDEX(INDIRECT(Database!$L$1&amp;":"&amp;Database!$L$2),Database!$C6,1))</f>
        <v>24-48 Vdc</v>
      </c>
      <c r="E8" s="48">
        <f ca="1">IF(INDEX(INDIRECT(Database!$L$1&amp;":"&amp;Database!$L$2),Database!$C6,1)=0,"",INDEX(INDIRECT(Database!$L$1&amp;":"&amp;Database!$L$2),Database!$C6,2))</f>
        <v>1</v>
      </c>
      <c r="F8" s="52"/>
      <c r="G8" s="50"/>
      <c r="H8" s="53"/>
      <c r="I8" s="54"/>
      <c r="J8" s="55"/>
      <c r="K8" s="53"/>
      <c r="L8" s="54"/>
      <c r="M8" s="50"/>
      <c r="N8" s="53"/>
      <c r="O8" s="50"/>
      <c r="P8" s="53"/>
      <c r="Q8" s="154"/>
    </row>
    <row r="9" spans="1:17" x14ac:dyDescent="0.2">
      <c r="A9" s="56" t="str">
        <f ca="1">IF(INDEX(INDIRECT(Database!$L$1&amp;":"&amp;Database!$L$2),Database!$C7,1)=0,"",INDEX(INDIRECT(Database!$L$1&amp;":"&amp;Database!$L$2),Database!$C7,1))</f>
        <v>100-250 Vdc / 110-240 Vac</v>
      </c>
      <c r="E9" s="48">
        <f ca="1">IF(INDEX(INDIRECT(Database!$L$1&amp;":"&amp;Database!$L$2),Database!$C7,1)=0,"",INDEX(INDIRECT(Database!$L$1&amp;":"&amp;Database!$L$2),Database!$C7,2))</f>
        <v>3</v>
      </c>
      <c r="F9" s="52"/>
      <c r="G9" s="50"/>
      <c r="H9" s="53"/>
      <c r="I9" s="54"/>
      <c r="J9" s="55"/>
      <c r="K9" s="53"/>
      <c r="L9" s="54"/>
      <c r="M9" s="50"/>
      <c r="N9" s="53"/>
      <c r="O9" s="50"/>
      <c r="P9" s="53"/>
      <c r="Q9" s="154"/>
    </row>
    <row r="10" spans="1:17" x14ac:dyDescent="0.2">
      <c r="A10" s="57"/>
      <c r="B10" s="58"/>
      <c r="C10" s="58"/>
      <c r="D10" s="59"/>
      <c r="E10" s="59"/>
      <c r="F10" s="52"/>
      <c r="G10" s="50"/>
      <c r="H10" s="53"/>
      <c r="I10" s="54"/>
      <c r="J10" s="55"/>
      <c r="K10" s="53"/>
      <c r="L10" s="54"/>
      <c r="M10" s="50"/>
      <c r="N10" s="53"/>
      <c r="O10" s="50"/>
      <c r="P10" s="53"/>
      <c r="Q10" s="154"/>
    </row>
    <row r="11" spans="1:17" x14ac:dyDescent="0.2">
      <c r="A11" s="49" t="str">
        <f>Database!B10</f>
        <v>Slot B - Hardware Options</v>
      </c>
      <c r="F11" s="52"/>
      <c r="G11" s="50"/>
      <c r="H11" s="53"/>
      <c r="I11" s="54"/>
      <c r="J11" s="55"/>
      <c r="K11" s="53"/>
      <c r="L11" s="54"/>
      <c r="M11" s="50"/>
      <c r="N11" s="53"/>
      <c r="O11" s="50"/>
      <c r="P11" s="53"/>
      <c r="Q11" s="154"/>
    </row>
    <row r="12" spans="1:17" x14ac:dyDescent="0.2">
      <c r="A12" s="56" t="str">
        <f ca="1">IF(INDEX(INDIRECT(Database!$L$1&amp;":"&amp;Database!$L$2),Database!$C11,1)=0,"",INDEX(INDIRECT(Database!$L$1&amp;":"&amp;Database!$L$2),Database!$C11,1))</f>
        <v>Processing unit + two RJ45 copper 10/100BASE-TX Ethernet interfaces</v>
      </c>
      <c r="F12" s="48" t="str">
        <f ca="1">IF(INDEX(INDIRECT(Database!$L$1&amp;":"&amp;Database!$L$2),Database!$C11,1)=0,"",INDEX(INDIRECT(Database!$L$1&amp;":"&amp;Database!$L$2),Database!$C11,2))</f>
        <v>E</v>
      </c>
      <c r="G12" s="50"/>
      <c r="H12" s="53"/>
      <c r="I12" s="54"/>
      <c r="J12" s="55"/>
      <c r="K12" s="53"/>
      <c r="L12" s="54"/>
      <c r="M12" s="50"/>
      <c r="N12" s="53"/>
      <c r="O12" s="50"/>
      <c r="P12" s="53"/>
      <c r="Q12" s="154"/>
    </row>
    <row r="13" spans="1:17" x14ac:dyDescent="0.2">
      <c r="A13" s="56" t="str">
        <f ca="1">IF(INDEX(INDIRECT(Database!$L$1&amp;":"&amp;Database!$L$2),Database!$C12,1)=0,"",INDEX(INDIRECT(Database!$L$1&amp;":"&amp;Database!$L$2),Database!$C12,1))</f>
        <v>Processing unit + two multimode LC-type connector 100BASE-FX Ethernet interfaces</v>
      </c>
      <c r="F13" s="48" t="str">
        <f ca="1">IF(INDEX(INDIRECT(Database!$L$1&amp;":"&amp;Database!$L$2),Database!$C12,1)=0,"",INDEX(INDIRECT(Database!$L$1&amp;":"&amp;Database!$L$2),Database!$C12,2))</f>
        <v>O</v>
      </c>
      <c r="G13" s="50"/>
      <c r="H13" s="53"/>
      <c r="I13" s="54"/>
      <c r="J13" s="55"/>
      <c r="K13" s="53"/>
      <c r="L13" s="54"/>
      <c r="M13" s="50"/>
      <c r="N13" s="53"/>
      <c r="O13" s="50"/>
      <c r="P13" s="53"/>
      <c r="Q13" s="154"/>
    </row>
    <row r="14" spans="1:17" x14ac:dyDescent="0.2">
      <c r="A14" s="56"/>
      <c r="B14" s="58"/>
      <c r="C14" s="58"/>
      <c r="D14" s="59"/>
      <c r="E14" s="59"/>
      <c r="F14" s="59"/>
      <c r="G14" s="50"/>
      <c r="H14" s="53"/>
      <c r="I14" s="54"/>
      <c r="J14" s="55"/>
      <c r="K14" s="53"/>
      <c r="L14" s="54"/>
      <c r="M14" s="50"/>
      <c r="N14" s="53"/>
      <c r="O14" s="50"/>
      <c r="P14" s="53"/>
      <c r="Q14" s="154"/>
    </row>
    <row r="15" spans="1:17" x14ac:dyDescent="0.2">
      <c r="A15" s="60" t="str">
        <f>Database!B14</f>
        <v>Slot C - Binary I/O</v>
      </c>
      <c r="G15" s="50"/>
      <c r="H15" s="53"/>
      <c r="I15" s="54"/>
      <c r="J15" s="55"/>
      <c r="K15" s="53"/>
      <c r="L15" s="54"/>
      <c r="M15" s="50"/>
      <c r="N15" s="53"/>
      <c r="O15" s="50"/>
      <c r="P15" s="53"/>
      <c r="Q15" s="154"/>
    </row>
    <row r="16" spans="1:17" x14ac:dyDescent="0.2">
      <c r="A16" s="56" t="str">
        <f ca="1">IF(INDEX(INDIRECT(Database!$L$1&amp;":"&amp;Database!$L$2),Database!$C15,1)=0,"",INDEX(INDIRECT(Database!$L$1&amp;":"&amp;Database!$L$2),Database!$C15,1))</f>
        <v>16 x 24/48/125/250 V binary inputs</v>
      </c>
      <c r="G16" s="48" t="str">
        <f ca="1">IF(INDEX(INDIRECT(Database!$L$1&amp;":"&amp;Database!$L$2),Database!$C15,1)=0,"",INDEX(INDIRECT(Database!$L$1&amp;":"&amp;Database!$L$2),Database!$C15,2))</f>
        <v>B1</v>
      </c>
      <c r="H16" s="53"/>
      <c r="I16" s="54"/>
      <c r="J16" s="55"/>
      <c r="K16" s="53"/>
      <c r="L16" s="54"/>
      <c r="M16" s="50"/>
      <c r="N16" s="53"/>
      <c r="O16" s="50"/>
      <c r="P16" s="53"/>
      <c r="Q16" s="154"/>
    </row>
    <row r="17" spans="1:17" x14ac:dyDescent="0.2">
      <c r="A17" s="56" t="str">
        <f ca="1">IF(INDEX(INDIRECT(Database!$L$1&amp;":"&amp;Database!$L$2),Database!$C16,1)=0,"",INDEX(INDIRECT(Database!$L$1&amp;":"&amp;Database!$L$2),Database!$C16,1))</f>
        <v>6 x  24/48/125/250 V binary inputs and 8 x binary outputs</v>
      </c>
      <c r="G17" s="48" t="str">
        <f ca="1">IF(INDEX(INDIRECT(Database!$L$1&amp;":"&amp;Database!$L$2),Database!$C16,1)=0,"",INDEX(INDIRECT(Database!$L$1&amp;":"&amp;Database!$L$2),Database!$C16,2))</f>
        <v>B2</v>
      </c>
      <c r="H17" s="53"/>
      <c r="I17" s="54"/>
      <c r="J17" s="55"/>
      <c r="K17" s="53"/>
      <c r="L17" s="54"/>
      <c r="M17" s="50"/>
      <c r="N17" s="53"/>
      <c r="O17" s="50"/>
      <c r="P17" s="53"/>
      <c r="Q17" s="154"/>
    </row>
    <row r="18" spans="1:17" x14ac:dyDescent="0.2">
      <c r="A18" s="56" t="str">
        <f ca="1">IF(INDEX(INDIRECT(Database!$L$1&amp;":"&amp;Database!$L$2),Database!$C17,1)=0,"",INDEX(INDIRECT(Database!$L$1&amp;":"&amp;Database!$L$2),Database!$C17,1))</f>
        <v>16 x 24/48/125/250 V binary inputs</v>
      </c>
      <c r="G18" s="48" t="str">
        <f ca="1">IF(INDEX(INDIRECT(Database!$L$1&amp;":"&amp;Database!$L$2),Database!$C17,1)=0,"",INDEX(INDIRECT(Database!$L$1&amp;":"&amp;Database!$L$2),Database!$C17,2))</f>
        <v>B3</v>
      </c>
      <c r="H18" s="53"/>
      <c r="I18" s="54"/>
      <c r="J18" s="55"/>
      <c r="K18" s="53"/>
      <c r="L18" s="54"/>
      <c r="M18" s="50"/>
      <c r="N18" s="53"/>
      <c r="O18" s="50"/>
      <c r="P18" s="53"/>
      <c r="Q18" s="154"/>
    </row>
    <row r="19" spans="1:17" x14ac:dyDescent="0.2">
      <c r="A19" s="56" t="str">
        <f ca="1">IF(INDEX(INDIRECT(Database!$L$1&amp;":"&amp;Database!$L$2),Database!$C18,1)=0,"",INDEX(INDIRECT(Database!$L$1&amp;":"&amp;Database!$L$2),Database!$C18,1))</f>
        <v>6 x  24/48/125/250 V binary inputs and 8 x Form-A binary outputs</v>
      </c>
      <c r="G19" s="48" t="str">
        <f ca="1">IF(INDEX(INDIRECT(Database!$L$1&amp;":"&amp;Database!$L$2),Database!$C18,1)=0,"",INDEX(INDIRECT(Database!$L$1&amp;":"&amp;Database!$L$2),Database!$C18,2))</f>
        <v>B4</v>
      </c>
      <c r="H19" s="53"/>
      <c r="I19" s="54"/>
      <c r="J19" s="55"/>
      <c r="K19" s="53"/>
      <c r="L19" s="54"/>
      <c r="M19" s="50"/>
      <c r="N19" s="53"/>
      <c r="O19" s="50"/>
      <c r="P19" s="53"/>
      <c r="Q19" s="154"/>
    </row>
    <row r="20" spans="1:17" x14ac:dyDescent="0.2">
      <c r="A20" s="56" t="str">
        <f ca="1">IF(INDEX(INDIRECT(Database!$L$1&amp;":"&amp;Database!$L$2),Database!$C19,1)=0,"",INDEX(INDIRECT(Database!$L$1&amp;":"&amp;Database!$L$2),Database!$C19,1))</f>
        <v>Not installed</v>
      </c>
      <c r="G20" s="48" t="str">
        <f ca="1">IF(INDEX(INDIRECT(Database!$L$1&amp;":"&amp;Database!$L$2),Database!$C19,1)=0,"",INDEX(INDIRECT(Database!$L$1&amp;":"&amp;Database!$L$2),Database!$C19,2))</f>
        <v>XX</v>
      </c>
      <c r="H20" s="53"/>
      <c r="I20" s="54"/>
      <c r="J20" s="55"/>
      <c r="K20" s="53"/>
      <c r="L20" s="54"/>
      <c r="M20" s="50"/>
      <c r="N20" s="53"/>
      <c r="O20" s="50"/>
      <c r="P20" s="53"/>
      <c r="Q20" s="154"/>
    </row>
    <row r="21" spans="1:17" x14ac:dyDescent="0.2">
      <c r="A21" s="57"/>
      <c r="B21" s="58"/>
      <c r="C21" s="58"/>
      <c r="D21" s="59"/>
      <c r="E21" s="59"/>
      <c r="F21" s="59"/>
      <c r="G21" s="59"/>
      <c r="H21" s="53"/>
      <c r="I21" s="54"/>
      <c r="J21" s="55"/>
      <c r="K21" s="53"/>
      <c r="L21" s="54"/>
      <c r="M21" s="50"/>
      <c r="N21" s="53"/>
      <c r="O21" s="50"/>
      <c r="P21" s="53"/>
      <c r="Q21" s="154"/>
    </row>
    <row r="22" spans="1:17" x14ac:dyDescent="0.2">
      <c r="A22" s="60" t="str">
        <f>Database!B26</f>
        <v>Slot D - Binary I/O</v>
      </c>
      <c r="B22" s="45"/>
      <c r="H22" s="53"/>
      <c r="I22" s="54"/>
      <c r="J22" s="55"/>
      <c r="K22" s="53"/>
      <c r="L22" s="54"/>
      <c r="M22" s="50"/>
      <c r="N22" s="53"/>
      <c r="O22" s="50"/>
      <c r="P22" s="53"/>
      <c r="Q22" s="154"/>
    </row>
    <row r="23" spans="1:17" x14ac:dyDescent="0.2">
      <c r="A23" s="56" t="str">
        <f ca="1">IF(INDEX(INDIRECT(Database!$L$1&amp;":"&amp;Database!$L$2),Database!$C27,1)=0,"",INDEX(INDIRECT(Database!$L$1&amp;":"&amp;Database!$L$2),Database!$C27,1))</f>
        <v>16 x 24/48/125/250 V binary inputs</v>
      </c>
      <c r="H23" s="48" t="str">
        <f ca="1">IF(INDEX(INDIRECT(Database!$L$1&amp;":"&amp;Database!$L$2),Database!$C27,1)=0,"",INDEX(INDIRECT(Database!$L$1&amp;":"&amp;Database!$L$2),Database!$C27,2))</f>
        <v>B1</v>
      </c>
      <c r="I23" s="54"/>
      <c r="J23" s="55"/>
      <c r="K23" s="53"/>
      <c r="L23" s="54"/>
      <c r="M23" s="50"/>
      <c r="N23" s="53"/>
      <c r="O23" s="50"/>
      <c r="P23" s="53"/>
      <c r="Q23" s="154"/>
    </row>
    <row r="24" spans="1:17" x14ac:dyDescent="0.2">
      <c r="A24" s="56" t="str">
        <f ca="1">IF(INDEX(INDIRECT(Database!$L$1&amp;":"&amp;Database!$L$2),Database!$C28,1)=0,"",INDEX(INDIRECT(Database!$L$1&amp;":"&amp;Database!$L$2),Database!$C28,1))</f>
        <v>6 x  24/48/125/250 V binary inputs and 8 x binary outputs</v>
      </c>
      <c r="H24" s="48" t="str">
        <f ca="1">IF(INDEX(INDIRECT(Database!$L$1&amp;":"&amp;Database!$L$2),Database!$C28,1)=0,"",INDEX(INDIRECT(Database!$L$1&amp;":"&amp;Database!$L$2),Database!$C28,2))</f>
        <v>B2</v>
      </c>
      <c r="I24" s="54"/>
      <c r="J24" s="55"/>
      <c r="K24" s="53"/>
      <c r="L24" s="54"/>
      <c r="M24" s="50"/>
      <c r="N24" s="53"/>
      <c r="O24" s="50"/>
      <c r="P24" s="53"/>
      <c r="Q24" s="154"/>
    </row>
    <row r="25" spans="1:17" x14ac:dyDescent="0.2">
      <c r="A25" s="56" t="str">
        <f ca="1">IF(INDEX(INDIRECT(Database!$L$1&amp;":"&amp;Database!$L$2),Database!$C29,1)=0,"",INDEX(INDIRECT(Database!$L$1&amp;":"&amp;Database!$L$2),Database!$C29,1))</f>
        <v>16 x 24/48/125/250 V binary inputs</v>
      </c>
      <c r="H25" s="48" t="str">
        <f ca="1">IF(INDEX(INDIRECT(Database!$L$1&amp;":"&amp;Database!$L$2),Database!$C29,1)=0,"",INDEX(INDIRECT(Database!$L$1&amp;":"&amp;Database!$L$2),Database!$C29,2))</f>
        <v>B3</v>
      </c>
      <c r="I25" s="54"/>
      <c r="J25" s="55"/>
      <c r="K25" s="53"/>
      <c r="L25" s="54"/>
      <c r="M25" s="50"/>
      <c r="N25" s="53"/>
      <c r="O25" s="50"/>
      <c r="P25" s="53"/>
      <c r="Q25" s="154"/>
    </row>
    <row r="26" spans="1:17" x14ac:dyDescent="0.2">
      <c r="A26" s="56" t="str">
        <f ca="1">IF(INDEX(INDIRECT(Database!$L$1&amp;":"&amp;Database!$L$2),Database!$C30,1)=0,"",INDEX(INDIRECT(Database!$L$1&amp;":"&amp;Database!$L$2),Database!$C30,1))</f>
        <v>6 x  24/48/125/250 V binary inputs and 8 x Form-A binary outputs</v>
      </c>
      <c r="H26" s="48" t="str">
        <f ca="1">IF(INDEX(INDIRECT(Database!$L$1&amp;":"&amp;Database!$L$2),Database!$C30,1)=0,"",INDEX(INDIRECT(Database!$L$1&amp;":"&amp;Database!$L$2),Database!$C30,2))</f>
        <v>B4</v>
      </c>
      <c r="I26" s="54"/>
      <c r="J26" s="55"/>
      <c r="K26" s="53"/>
      <c r="L26" s="54"/>
      <c r="M26" s="50"/>
      <c r="N26" s="53"/>
      <c r="O26" s="50"/>
      <c r="P26" s="53"/>
      <c r="Q26" s="154"/>
    </row>
    <row r="27" spans="1:17" x14ac:dyDescent="0.2">
      <c r="A27" s="56" t="str">
        <f ca="1">IF(INDEX(INDIRECT(Database!$L$1&amp;":"&amp;Database!$L$2),Database!$C31,1)=0,"",INDEX(INDIRECT(Database!$L$1&amp;":"&amp;Database!$L$2),Database!$C31,1))</f>
        <v>Not installed</v>
      </c>
      <c r="H27" s="48" t="str">
        <f ca="1">IF(INDEX(INDIRECT(Database!$L$1&amp;":"&amp;Database!$L$2),Database!$C31,1)=0,"",INDEX(INDIRECT(Database!$L$1&amp;":"&amp;Database!$L$2),Database!$C31,2))</f>
        <v>XX</v>
      </c>
      <c r="I27" s="54"/>
      <c r="J27" s="55"/>
      <c r="K27" s="53"/>
      <c r="L27" s="54"/>
      <c r="M27" s="50"/>
      <c r="N27" s="53"/>
      <c r="O27" s="50"/>
      <c r="P27" s="53"/>
      <c r="Q27" s="154"/>
    </row>
    <row r="28" spans="1:17" x14ac:dyDescent="0.2">
      <c r="A28" s="57"/>
      <c r="C28" s="58"/>
      <c r="D28" s="59"/>
      <c r="E28" s="59"/>
      <c r="F28" s="59"/>
      <c r="G28" s="59"/>
      <c r="H28" s="59"/>
      <c r="I28" s="54"/>
      <c r="J28" s="55"/>
      <c r="K28" s="53"/>
      <c r="L28" s="54"/>
      <c r="M28" s="50"/>
      <c r="N28" s="53"/>
      <c r="O28" s="50"/>
      <c r="P28" s="53"/>
      <c r="Q28" s="154"/>
    </row>
    <row r="29" spans="1:17" x14ac:dyDescent="0.2">
      <c r="A29" s="61" t="str">
        <f>Database!B38</f>
        <v>Slot E -  Flexible I/O Options</v>
      </c>
      <c r="B29" s="45"/>
      <c r="I29" s="54"/>
      <c r="J29" s="55"/>
      <c r="K29" s="53"/>
      <c r="L29" s="54"/>
      <c r="M29" s="50"/>
      <c r="N29" s="53"/>
      <c r="O29" s="50"/>
      <c r="P29" s="53"/>
      <c r="Q29" s="154"/>
    </row>
    <row r="30" spans="1:17" x14ac:dyDescent="0.2">
      <c r="A30" s="56" t="str">
        <f ca="1">IF(INDEX(INDIRECT(Database!$L$1&amp;":"&amp;Database!$L$2),Database!$C39,1)=0,"",INDEX(INDIRECT(Database!$L$1&amp;":"&amp;Database!$L$2),Database!$C39,1))</f>
        <v>16 x 24/48/125/250 V binary inputs</v>
      </c>
      <c r="I30" s="48" t="str">
        <f ca="1">IF(INDEX(INDIRECT(Database!$L$1&amp;":"&amp;Database!$L$2),Database!$C39,1)=0,"",INDEX(INDIRECT(Database!$L$1&amp;":"&amp;Database!$L$2),Database!$C39,2))</f>
        <v>B1</v>
      </c>
      <c r="J30" s="55"/>
      <c r="K30" s="53"/>
      <c r="L30" s="54"/>
      <c r="M30" s="50"/>
      <c r="N30" s="53"/>
      <c r="O30" s="50"/>
      <c r="P30" s="53"/>
      <c r="Q30" s="154"/>
    </row>
    <row r="31" spans="1:17" x14ac:dyDescent="0.2">
      <c r="A31" s="56" t="str">
        <f ca="1">IF(INDEX(INDIRECT(Database!$L$1&amp;":"&amp;Database!$L$2),Database!$C40,1)=0,"",INDEX(INDIRECT(Database!$L$1&amp;":"&amp;Database!$L$2),Database!$C40,1))</f>
        <v>6 x  24/48/125/250 V binary inputs and 8 x binary outputs</v>
      </c>
      <c r="I31" s="48" t="str">
        <f ca="1">IF(INDEX(INDIRECT(Database!$L$1&amp;":"&amp;Database!$L$2),Database!$C40,1)=0,"",INDEX(INDIRECT(Database!$L$1&amp;":"&amp;Database!$L$2),Database!$C40,2))</f>
        <v>B2</v>
      </c>
      <c r="J31" s="55"/>
      <c r="K31" s="53"/>
      <c r="L31" s="54"/>
      <c r="M31" s="50"/>
      <c r="N31" s="53"/>
      <c r="O31" s="50"/>
      <c r="P31" s="53"/>
      <c r="Q31" s="154"/>
    </row>
    <row r="32" spans="1:17" x14ac:dyDescent="0.2">
      <c r="A32" s="56" t="str">
        <f ca="1">IF(INDEX(INDIRECT(Database!$L$1&amp;":"&amp;Database!$L$2),Database!$C41,1)=0,"",INDEX(INDIRECT(Database!$L$1&amp;":"&amp;Database!$L$2),Database!$C41,1))</f>
        <v>16 x 24/48/125/250 V binary inputs</v>
      </c>
      <c r="I32" s="48" t="str">
        <f ca="1">IF(INDEX(INDIRECT(Database!$L$1&amp;":"&amp;Database!$L$2),Database!$C41,1)=0,"",INDEX(INDIRECT(Database!$L$1&amp;":"&amp;Database!$L$2),Database!$C41,2))</f>
        <v>B3</v>
      </c>
      <c r="J32" s="55"/>
      <c r="K32" s="53"/>
      <c r="L32" s="54"/>
      <c r="M32" s="50"/>
      <c r="N32" s="53"/>
      <c r="O32" s="50"/>
      <c r="P32" s="53"/>
      <c r="Q32" s="154"/>
    </row>
    <row r="33" spans="1:17" x14ac:dyDescent="0.2">
      <c r="A33" s="56" t="str">
        <f ca="1">IF(INDEX(INDIRECT(Database!$L$1&amp;":"&amp;Database!$L$2),Database!$C42,1)=0,"",INDEX(INDIRECT(Database!$L$1&amp;":"&amp;Database!$L$2),Database!$C42,1))</f>
        <v>6 x  24/48/125/250 V binary inputs and 8 x Form-A binary outputs</v>
      </c>
      <c r="I33" s="48" t="str">
        <f ca="1">IF(INDEX(INDIRECT(Database!$L$1&amp;":"&amp;Database!$L$2),Database!$C42,1)=0,"",INDEX(INDIRECT(Database!$L$1&amp;":"&amp;Database!$L$2),Database!$C42,2))</f>
        <v>B4</v>
      </c>
      <c r="J33" s="55"/>
      <c r="K33" s="53"/>
      <c r="L33" s="54"/>
      <c r="M33" s="50"/>
      <c r="N33" s="53"/>
      <c r="O33" s="50"/>
      <c r="P33" s="53"/>
      <c r="Q33" s="154"/>
    </row>
    <row r="34" spans="1:17" x14ac:dyDescent="0.2">
      <c r="A34" s="56" t="str">
        <f ca="1">IF(INDEX(INDIRECT(Database!$L$1&amp;":"&amp;Database!$L$2),Database!$C43,1)=0,"",INDEX(INDIRECT(Database!$L$1&amp;":"&amp;Database!$L$2),Database!$C43,1))</f>
        <v>4 x VT 115 V and 4 CT 1/5 A RMS measurement analog inputs</v>
      </c>
      <c r="I34" s="48" t="str">
        <f ca="1">IF(INDEX(INDIRECT(Database!$L$1&amp;":"&amp;Database!$L$2),Database!$C43,1)=0,"",INDEX(INDIRECT(Database!$L$1&amp;":"&amp;Database!$L$2),Database!$C43,2))</f>
        <v>ME</v>
      </c>
      <c r="J34" s="55"/>
      <c r="K34" s="53"/>
      <c r="L34" s="54"/>
      <c r="M34" s="50"/>
      <c r="N34" s="53"/>
      <c r="O34" s="50"/>
      <c r="P34" s="53"/>
      <c r="Q34" s="154"/>
    </row>
    <row r="35" spans="1:17" x14ac:dyDescent="0.2">
      <c r="A35" s="56" t="str">
        <f ca="1">IF(INDEX(INDIRECT(Database!$L$1&amp;":"&amp;Database!$L$2),Database!$C44,1)=0,"",INDEX(INDIRECT(Database!$L$1&amp;":"&amp;Database!$L$2),Database!$C44,1))</f>
        <v>4 x VT 115 V and 4 x CT 1 A RMS protection analog inputs</v>
      </c>
      <c r="I35" s="48" t="str">
        <f ca="1">IF(INDEX(INDIRECT(Database!$L$1&amp;":"&amp;Database!$L$2),Database!$C44,1)=0,"",INDEX(INDIRECT(Database!$L$1&amp;":"&amp;Database!$L$2),Database!$C44,2))</f>
        <v>P1</v>
      </c>
      <c r="J35" s="55"/>
      <c r="K35" s="53"/>
      <c r="L35" s="54"/>
      <c r="M35" s="50"/>
      <c r="N35" s="53"/>
      <c r="O35" s="50"/>
      <c r="P35" s="53"/>
      <c r="Q35" s="154"/>
    </row>
    <row r="36" spans="1:17" x14ac:dyDescent="0.2">
      <c r="A36" s="56" t="str">
        <f ca="1">IF(INDEX(INDIRECT(Database!$L$1&amp;":"&amp;Database!$L$2),Database!$C45,1)=0,"",INDEX(INDIRECT(Database!$L$1&amp;":"&amp;Database!$L$2),Database!$C45,1))</f>
        <v>4 x VT 115V and 4 x CT 5 A RMS protection analog inputs</v>
      </c>
      <c r="I36" s="48" t="str">
        <f ca="1">IF(INDEX(INDIRECT(Database!$L$1&amp;":"&amp;Database!$L$2),Database!$C45,1)=0,"",INDEX(INDIRECT(Database!$L$1&amp;":"&amp;Database!$L$2),Database!$C45,2))</f>
        <v>P5</v>
      </c>
      <c r="J36" s="55"/>
      <c r="K36" s="53"/>
      <c r="L36" s="54"/>
      <c r="M36" s="50"/>
      <c r="N36" s="53"/>
      <c r="O36" s="50"/>
      <c r="P36" s="53"/>
      <c r="Q36" s="154"/>
    </row>
    <row r="37" spans="1:17" x14ac:dyDescent="0.2">
      <c r="A37" s="56" t="str">
        <f ca="1">IF(INDEX(INDIRECT(Database!$L$1&amp;":"&amp;Database!$L$2),Database!$C46,1)=0,"",INDEX(INDIRECT(Database!$L$1&amp;":"&amp;Database!$L$2),Database!$C46,1))</f>
        <v>4 x ±10 Vdc and 4 x 0-20 mAdc transducer inputs</v>
      </c>
      <c r="I37" s="48" t="str">
        <f ca="1">IF(INDEX(INDIRECT(Database!$L$1&amp;":"&amp;Database!$L$2),Database!$C46,1)=0,"",INDEX(INDIRECT(Database!$L$1&amp;":"&amp;Database!$L$2),Database!$C46,2))</f>
        <v>DC</v>
      </c>
      <c r="J37" s="55"/>
      <c r="K37" s="53"/>
      <c r="L37" s="54"/>
      <c r="M37" s="50"/>
      <c r="N37" s="53"/>
      <c r="O37" s="50"/>
      <c r="P37" s="53"/>
      <c r="Q37" s="154"/>
    </row>
    <row r="38" spans="1:17" x14ac:dyDescent="0.2">
      <c r="A38" s="56" t="str">
        <f ca="1">IF(INDEX(INDIRECT(Database!$L$1&amp;":"&amp;Database!$L$2),Database!$C47,1)=0,"",INDEX(INDIRECT(Database!$L$1&amp;":"&amp;Database!$L$2),Database!$C47,1))</f>
        <v>Not installed</v>
      </c>
      <c r="I38" s="48" t="str">
        <f ca="1">IF(INDEX(INDIRECT(Database!$L$1&amp;":"&amp;Database!$L$2),Database!$C47,1)=0,"",INDEX(INDIRECT(Database!$L$1&amp;":"&amp;Database!$L$2),Database!$C47,2))</f>
        <v>XX</v>
      </c>
      <c r="J38" s="55"/>
      <c r="K38" s="53"/>
      <c r="L38" s="54"/>
      <c r="M38" s="50"/>
      <c r="N38" s="53"/>
      <c r="O38" s="50"/>
      <c r="P38" s="53"/>
      <c r="Q38" s="154"/>
    </row>
    <row r="39" spans="1:17" x14ac:dyDescent="0.2">
      <c r="A39" s="56"/>
      <c r="I39" s="59"/>
      <c r="J39" s="55"/>
      <c r="K39" s="53"/>
      <c r="L39" s="54"/>
      <c r="M39" s="50"/>
      <c r="N39" s="53"/>
      <c r="O39" s="50"/>
      <c r="P39" s="53"/>
      <c r="Q39" s="154"/>
    </row>
    <row r="40" spans="1:17" x14ac:dyDescent="0.2">
      <c r="A40" s="61" t="str">
        <f>Database!B50</f>
        <v>Slot F - Flexible I/O Options</v>
      </c>
      <c r="B40" s="45"/>
      <c r="C40" s="45"/>
      <c r="D40" s="62"/>
      <c r="E40" s="62"/>
      <c r="F40" s="62"/>
      <c r="G40" s="62"/>
      <c r="H40" s="62"/>
      <c r="J40" s="55"/>
      <c r="K40" s="53"/>
      <c r="L40" s="54"/>
      <c r="M40" s="50"/>
      <c r="N40" s="53"/>
      <c r="O40" s="50"/>
      <c r="P40" s="53"/>
      <c r="Q40" s="154"/>
    </row>
    <row r="41" spans="1:17" x14ac:dyDescent="0.2">
      <c r="A41" s="56" t="str">
        <f ca="1">IF(INDEX(INDIRECT(Database!$L$1&amp;":"&amp;Database!$L$2),Database!$C51,1)=0,"",INDEX(INDIRECT(Database!$L$1&amp;":"&amp;Database!$L$2),Database!$C51,1))</f>
        <v>16 x 24/48/125/250 V binary inputs</v>
      </c>
      <c r="J41" s="48" t="str">
        <f ca="1">IF(INDEX(INDIRECT(Database!$L$1&amp;":"&amp;Database!$L$2),Database!$C51,1)=0,"",INDEX(INDIRECT(Database!$L$1&amp;":"&amp;Database!$L$2),Database!$C51,2))</f>
        <v>B1</v>
      </c>
      <c r="K41" s="53"/>
      <c r="L41" s="54"/>
      <c r="M41" s="50"/>
      <c r="N41" s="53"/>
      <c r="O41" s="50"/>
      <c r="P41" s="53"/>
      <c r="Q41" s="154"/>
    </row>
    <row r="42" spans="1:17" x14ac:dyDescent="0.2">
      <c r="A42" s="56" t="str">
        <f ca="1">IF(INDEX(INDIRECT(Database!$L$1&amp;":"&amp;Database!$L$2),Database!$C52,1)=0,"",INDEX(INDIRECT(Database!$L$1&amp;":"&amp;Database!$L$2),Database!$C52,1))</f>
        <v>6 x  24/48/125/250 V binary inputs and 8 x binary outputs</v>
      </c>
      <c r="J42" s="48" t="str">
        <f ca="1">IF(INDEX(INDIRECT(Database!$L$1&amp;":"&amp;Database!$L$2),Database!$C52,1)=0,"",INDEX(INDIRECT(Database!$L$1&amp;":"&amp;Database!$L$2),Database!$C52,2))</f>
        <v>B2</v>
      </c>
      <c r="K42" s="53"/>
      <c r="L42" s="54"/>
      <c r="M42" s="50"/>
      <c r="N42" s="53"/>
      <c r="O42" s="50"/>
      <c r="P42" s="53"/>
      <c r="Q42" s="154"/>
    </row>
    <row r="43" spans="1:17" x14ac:dyDescent="0.2">
      <c r="A43" s="56" t="str">
        <f ca="1">IF(INDEX(INDIRECT(Database!$L$1&amp;":"&amp;Database!$L$2),Database!$C53,1)=0,"",INDEX(INDIRECT(Database!$L$1&amp;":"&amp;Database!$L$2),Database!$C53,1))</f>
        <v>16 x 24/48/125/250 V binary inputs</v>
      </c>
      <c r="J43" s="48" t="str">
        <f ca="1">IF(INDEX(INDIRECT(Database!$L$1&amp;":"&amp;Database!$L$2),Database!$C53,1)=0,"",INDEX(INDIRECT(Database!$L$1&amp;":"&amp;Database!$L$2),Database!$C53,2))</f>
        <v>B3</v>
      </c>
      <c r="K43" s="53"/>
      <c r="L43" s="54"/>
      <c r="M43" s="50"/>
      <c r="N43" s="53"/>
      <c r="O43" s="50"/>
      <c r="P43" s="53"/>
      <c r="Q43" s="154"/>
    </row>
    <row r="44" spans="1:17" x14ac:dyDescent="0.2">
      <c r="A44" s="56" t="str">
        <f ca="1">IF(INDEX(INDIRECT(Database!$L$1&amp;":"&amp;Database!$L$2),Database!$C54,1)=0,"",INDEX(INDIRECT(Database!$L$1&amp;":"&amp;Database!$L$2),Database!$C54,1))</f>
        <v>6 x  24/48/125/250 V binary inputs and 8 x Form-A binary outputs</v>
      </c>
      <c r="J44" s="48" t="str">
        <f ca="1">IF(INDEX(INDIRECT(Database!$L$1&amp;":"&amp;Database!$L$2),Database!$C54,1)=0,"",INDEX(INDIRECT(Database!$L$1&amp;":"&amp;Database!$L$2),Database!$C54,2))</f>
        <v>B4</v>
      </c>
      <c r="K44" s="53"/>
      <c r="L44" s="54"/>
      <c r="M44" s="50"/>
      <c r="N44" s="53"/>
      <c r="O44" s="50"/>
      <c r="P44" s="53"/>
      <c r="Q44" s="154"/>
    </row>
    <row r="45" spans="1:17" x14ac:dyDescent="0.2">
      <c r="A45" s="56" t="str">
        <f ca="1">IF(INDEX(INDIRECT(Database!$L$1&amp;":"&amp;Database!$L$2),Database!$C55,1)=0,"",INDEX(INDIRECT(Database!$L$1&amp;":"&amp;Database!$L$2),Database!$C55,1))</f>
        <v>4 x VT 115 V and 4 CT 1/5 A RMS measurement analog inputs</v>
      </c>
      <c r="J45" s="48" t="str">
        <f ca="1">IF(INDEX(INDIRECT(Database!$L$1&amp;":"&amp;Database!$L$2),Database!$C55,1)=0,"",INDEX(INDIRECT(Database!$L$1&amp;":"&amp;Database!$L$2),Database!$C55,2))</f>
        <v>ME</v>
      </c>
      <c r="K45" s="53"/>
      <c r="L45" s="54"/>
      <c r="M45" s="50"/>
      <c r="N45" s="53"/>
      <c r="O45" s="50"/>
      <c r="P45" s="53"/>
      <c r="Q45" s="154"/>
    </row>
    <row r="46" spans="1:17" x14ac:dyDescent="0.2">
      <c r="A46" s="56" t="str">
        <f ca="1">IF(INDEX(INDIRECT(Database!$L$1&amp;":"&amp;Database!$L$2),Database!$C56,1)=0,"",INDEX(INDIRECT(Database!$L$1&amp;":"&amp;Database!$L$2),Database!$C56,1))</f>
        <v>4 x VT 115 V and 4 x CT 1 A RMS protection analog inputs</v>
      </c>
      <c r="J46" s="48" t="str">
        <f ca="1">IF(INDEX(INDIRECT(Database!$L$1&amp;":"&amp;Database!$L$2),Database!$C56,1)=0,"",INDEX(INDIRECT(Database!$L$1&amp;":"&amp;Database!$L$2),Database!$C56,2))</f>
        <v>P1</v>
      </c>
      <c r="K46" s="53"/>
      <c r="L46" s="54"/>
      <c r="M46" s="50"/>
      <c r="N46" s="53"/>
      <c r="O46" s="50"/>
      <c r="P46" s="53"/>
      <c r="Q46" s="154"/>
    </row>
    <row r="47" spans="1:17" x14ac:dyDescent="0.2">
      <c r="A47" s="56" t="str">
        <f ca="1">IF(INDEX(INDIRECT(Database!$L$1&amp;":"&amp;Database!$L$2),Database!$C57,1)=0,"",INDEX(INDIRECT(Database!$L$1&amp;":"&amp;Database!$L$2),Database!$C57,1))</f>
        <v>4 x VT 115V and 4 x CT 5 A RMS protection analog inputs</v>
      </c>
      <c r="J47" s="48" t="str">
        <f ca="1">IF(INDEX(INDIRECT(Database!$L$1&amp;":"&amp;Database!$L$2),Database!$C57,1)=0,"",INDEX(INDIRECT(Database!$L$1&amp;":"&amp;Database!$L$2),Database!$C57,2))</f>
        <v>P5</v>
      </c>
      <c r="K47" s="53"/>
      <c r="L47" s="54"/>
      <c r="M47" s="50"/>
      <c r="N47" s="53"/>
      <c r="O47" s="50"/>
      <c r="P47" s="53"/>
      <c r="Q47" s="154"/>
    </row>
    <row r="48" spans="1:17" x14ac:dyDescent="0.2">
      <c r="A48" s="56" t="str">
        <f ca="1">IF(INDEX(INDIRECT(Database!$L$1&amp;":"&amp;Database!$L$2),Database!$C58,1)=0,"",INDEX(INDIRECT(Database!$L$1&amp;":"&amp;Database!$L$2),Database!$C58,1))</f>
        <v>4 x ±10 Vdc and 4 x 0-20 mAdc transducer inputs</v>
      </c>
      <c r="J48" s="48" t="str">
        <f ca="1">IF(INDEX(INDIRECT(Database!$L$1&amp;":"&amp;Database!$L$2),Database!$C58,1)=0,"",INDEX(INDIRECT(Database!$L$1&amp;":"&amp;Database!$L$2),Database!$C58,2))</f>
        <v>DC</v>
      </c>
      <c r="K48" s="53"/>
      <c r="L48" s="54"/>
      <c r="M48" s="50"/>
      <c r="N48" s="53"/>
      <c r="O48" s="50"/>
      <c r="P48" s="53"/>
      <c r="Q48" s="154"/>
    </row>
    <row r="49" spans="1:17" x14ac:dyDescent="0.2">
      <c r="A49" s="56" t="str">
        <f ca="1">IF(INDEX(INDIRECT(Database!$L$1&amp;":"&amp;Database!$L$2),Database!$C59,1)=0,"",INDEX(INDIRECT(Database!$L$1&amp;":"&amp;Database!$L$2),Database!$C59,1))</f>
        <v>Not installed</v>
      </c>
      <c r="J49" s="48" t="str">
        <f ca="1">IF(INDEX(INDIRECT(Database!$L$1&amp;":"&amp;Database!$L$2),Database!$C59,1)=0,"",INDEX(INDIRECT(Database!$L$1&amp;":"&amp;Database!$L$2),Database!$C59,2))</f>
        <v>XX</v>
      </c>
      <c r="K49" s="53"/>
      <c r="L49" s="54"/>
      <c r="M49" s="50"/>
      <c r="N49" s="53"/>
      <c r="O49" s="50"/>
      <c r="P49" s="53"/>
      <c r="Q49" s="154"/>
    </row>
    <row r="50" spans="1:17" x14ac:dyDescent="0.2">
      <c r="A50" s="57"/>
      <c r="B50" s="58"/>
      <c r="C50" s="58"/>
      <c r="D50" s="59"/>
      <c r="E50" s="59"/>
      <c r="F50" s="59"/>
      <c r="G50" s="59"/>
      <c r="H50" s="59"/>
      <c r="I50" s="59"/>
      <c r="J50" s="59"/>
      <c r="K50" s="53"/>
      <c r="L50" s="54"/>
      <c r="M50" s="50"/>
      <c r="N50" s="53"/>
      <c r="O50" s="50"/>
      <c r="P50" s="53"/>
      <c r="Q50" s="154"/>
    </row>
    <row r="51" spans="1:17" x14ac:dyDescent="0.2">
      <c r="A51" s="61" t="str">
        <f>Database!B62</f>
        <v>Slot G -  Flexible I/O Options</v>
      </c>
      <c r="B51" s="45"/>
      <c r="C51" s="45"/>
      <c r="D51" s="62"/>
      <c r="E51" s="62"/>
      <c r="F51" s="62"/>
      <c r="G51" s="62"/>
      <c r="H51" s="62"/>
      <c r="I51" s="62"/>
      <c r="J51" s="62"/>
      <c r="K51" s="53"/>
      <c r="L51" s="54"/>
      <c r="M51" s="50"/>
      <c r="N51" s="53"/>
      <c r="O51" s="50"/>
      <c r="P51" s="53"/>
      <c r="Q51" s="154"/>
    </row>
    <row r="52" spans="1:17" x14ac:dyDescent="0.2">
      <c r="A52" s="56" t="str">
        <f ca="1">IF(INDEX(INDIRECT(Database!$L$1&amp;":"&amp;Database!$L$2),Database!$C63,1)=0,"",INDEX(INDIRECT(Database!$L$1&amp;":"&amp;Database!$L$2),Database!$C63,1))</f>
        <v>16 x 24/48/125/250 V binary inputs</v>
      </c>
      <c r="D52" s="31"/>
      <c r="E52" s="31"/>
      <c r="F52" s="31"/>
      <c r="G52" s="31"/>
      <c r="H52" s="31"/>
      <c r="I52" s="31"/>
      <c r="J52" s="31"/>
      <c r="K52" s="48" t="str">
        <f ca="1">IF(INDEX(INDIRECT(Database!$L$1&amp;":"&amp;Database!$L$2),Database!$C63,1)=0,"",INDEX(INDIRECT(Database!$L$1&amp;":"&amp;Database!$L$2),Database!$C63,2))</f>
        <v>B1</v>
      </c>
      <c r="L52" s="54"/>
      <c r="M52" s="50"/>
      <c r="N52" s="53"/>
      <c r="O52" s="50"/>
      <c r="P52" s="53"/>
      <c r="Q52" s="154"/>
    </row>
    <row r="53" spans="1:17" x14ac:dyDescent="0.2">
      <c r="A53" s="56" t="str">
        <f ca="1">IF(INDEX(INDIRECT(Database!$L$1&amp;":"&amp;Database!$L$2),Database!$C64,1)=0,"",INDEX(INDIRECT(Database!$L$1&amp;":"&amp;Database!$L$2),Database!$C64,1))</f>
        <v>6 x  24/48/125/250 V binary inputs and 8 x binary outputs</v>
      </c>
      <c r="D53" s="31"/>
      <c r="E53" s="31"/>
      <c r="F53" s="31"/>
      <c r="G53" s="31"/>
      <c r="H53" s="31"/>
      <c r="I53" s="31"/>
      <c r="J53" s="31"/>
      <c r="K53" s="48" t="str">
        <f ca="1">IF(INDEX(INDIRECT(Database!$L$1&amp;":"&amp;Database!$L$2),Database!$C64,1)=0,"",INDEX(INDIRECT(Database!$L$1&amp;":"&amp;Database!$L$2),Database!$C64,2))</f>
        <v>B2</v>
      </c>
      <c r="L53" s="54"/>
      <c r="M53" s="50"/>
      <c r="N53" s="53"/>
      <c r="O53" s="50"/>
      <c r="P53" s="53"/>
      <c r="Q53" s="154"/>
    </row>
    <row r="54" spans="1:17" x14ac:dyDescent="0.2">
      <c r="A54" s="56" t="str">
        <f ca="1">IF(INDEX(INDIRECT(Database!$L$1&amp;":"&amp;Database!$L$2),Database!$C65,1)=0,"",INDEX(INDIRECT(Database!$L$1&amp;":"&amp;Database!$L$2),Database!$C65,1))</f>
        <v>16 x 24/48/125/250 V binary inputs</v>
      </c>
      <c r="D54" s="31"/>
      <c r="E54" s="31"/>
      <c r="F54" s="31"/>
      <c r="G54" s="31"/>
      <c r="H54" s="31"/>
      <c r="I54" s="31"/>
      <c r="J54" s="31"/>
      <c r="K54" s="48" t="str">
        <f ca="1">IF(INDEX(INDIRECT(Database!$L$1&amp;":"&amp;Database!$L$2),Database!$C65,1)=0,"",INDEX(INDIRECT(Database!$L$1&amp;":"&amp;Database!$L$2),Database!$C65,2))</f>
        <v>B3</v>
      </c>
      <c r="L54" s="54"/>
      <c r="M54" s="50"/>
      <c r="N54" s="53"/>
      <c r="O54" s="50"/>
      <c r="P54" s="53"/>
      <c r="Q54" s="154"/>
    </row>
    <row r="55" spans="1:17" x14ac:dyDescent="0.2">
      <c r="A55" s="56" t="str">
        <f ca="1">IF(INDEX(INDIRECT(Database!$L$1&amp;":"&amp;Database!$L$2),Database!$C66,1)=0,"",INDEX(INDIRECT(Database!$L$1&amp;":"&amp;Database!$L$2),Database!$C66,1))</f>
        <v>6 x  24/48/125/250 V binary inputs and 8 x Form-A binary outputs</v>
      </c>
      <c r="D55" s="31"/>
      <c r="E55" s="31"/>
      <c r="F55" s="31"/>
      <c r="G55" s="31"/>
      <c r="H55" s="31"/>
      <c r="I55" s="31"/>
      <c r="J55" s="31"/>
      <c r="K55" s="48" t="str">
        <f ca="1">IF(INDEX(INDIRECT(Database!$L$1&amp;":"&amp;Database!$L$2),Database!$C66,1)=0,"",INDEX(INDIRECT(Database!$L$1&amp;":"&amp;Database!$L$2),Database!$C66,2))</f>
        <v>B4</v>
      </c>
      <c r="L55" s="54"/>
      <c r="M55" s="50"/>
      <c r="N55" s="53"/>
      <c r="O55" s="50"/>
      <c r="P55" s="53"/>
      <c r="Q55" s="154"/>
    </row>
    <row r="56" spans="1:17" x14ac:dyDescent="0.2">
      <c r="A56" s="56" t="str">
        <f ca="1">IF(INDEX(INDIRECT(Database!$L$1&amp;":"&amp;Database!$L$2),Database!$C67,1)=0,"",INDEX(INDIRECT(Database!$L$1&amp;":"&amp;Database!$L$2),Database!$C67,1))</f>
        <v>4 x VT 115 V and 4 CT 1/5 A RMS measurement analog inputs</v>
      </c>
      <c r="D56" s="31"/>
      <c r="E56" s="31"/>
      <c r="F56" s="31"/>
      <c r="G56" s="31"/>
      <c r="H56" s="31"/>
      <c r="I56" s="31"/>
      <c r="J56" s="31"/>
      <c r="K56" s="48" t="str">
        <f ca="1">IF(INDEX(INDIRECT(Database!$L$1&amp;":"&amp;Database!$L$2),Database!$C67,1)=0,"",INDEX(INDIRECT(Database!$L$1&amp;":"&amp;Database!$L$2),Database!$C67,2))</f>
        <v>ME</v>
      </c>
      <c r="L56" s="54"/>
      <c r="M56" s="50"/>
      <c r="N56" s="53"/>
      <c r="O56" s="50"/>
      <c r="P56" s="53"/>
      <c r="Q56" s="154"/>
    </row>
    <row r="57" spans="1:17" x14ac:dyDescent="0.2">
      <c r="A57" s="56" t="str">
        <f ca="1">IF(INDEX(INDIRECT(Database!$L$1&amp;":"&amp;Database!$L$2),Database!$C68,1)=0,"",INDEX(INDIRECT(Database!$L$1&amp;":"&amp;Database!$L$2),Database!$C68,1))</f>
        <v>4 x VT 115 V and 4 x CT 1 A RMS protection analog inputs</v>
      </c>
      <c r="D57" s="31"/>
      <c r="E57" s="31"/>
      <c r="F57" s="31"/>
      <c r="G57" s="31"/>
      <c r="H57" s="31"/>
      <c r="I57" s="31"/>
      <c r="J57" s="31"/>
      <c r="K57" s="48" t="str">
        <f ca="1">IF(INDEX(INDIRECT(Database!$L$1&amp;":"&amp;Database!$L$2),Database!$C68,1)=0,"",INDEX(INDIRECT(Database!$L$1&amp;":"&amp;Database!$L$2),Database!$C68,2))</f>
        <v>P1</v>
      </c>
      <c r="L57" s="54"/>
      <c r="M57" s="50"/>
      <c r="N57" s="53"/>
      <c r="O57" s="50"/>
      <c r="P57" s="53"/>
      <c r="Q57" s="154"/>
    </row>
    <row r="58" spans="1:17" x14ac:dyDescent="0.2">
      <c r="A58" s="56" t="str">
        <f ca="1">IF(INDEX(INDIRECT(Database!$L$1&amp;":"&amp;Database!$L$2),Database!$C69,1)=0,"",INDEX(INDIRECT(Database!$L$1&amp;":"&amp;Database!$L$2),Database!$C69,1))</f>
        <v>4 x VT 115V and 4 x CT 5 A RMS protection analog inputs</v>
      </c>
      <c r="D58" s="31"/>
      <c r="E58" s="31"/>
      <c r="F58" s="31"/>
      <c r="G58" s="31"/>
      <c r="H58" s="31"/>
      <c r="I58" s="31"/>
      <c r="J58" s="31"/>
      <c r="K58" s="48" t="str">
        <f ca="1">IF(INDEX(INDIRECT(Database!$L$1&amp;":"&amp;Database!$L$2),Database!$C69,1)=0,"",INDEX(INDIRECT(Database!$L$1&amp;":"&amp;Database!$L$2),Database!$C69,2))</f>
        <v>P5</v>
      </c>
      <c r="L58" s="54"/>
      <c r="M58" s="50"/>
      <c r="N58" s="53"/>
      <c r="O58" s="50"/>
      <c r="P58" s="53"/>
      <c r="Q58" s="154"/>
    </row>
    <row r="59" spans="1:17" x14ac:dyDescent="0.2">
      <c r="A59" s="56" t="str">
        <f ca="1">IF(INDEX(INDIRECT(Database!$L$1&amp;":"&amp;Database!$L$2),Database!$C70,1)=0,"",INDEX(INDIRECT(Database!$L$1&amp;":"&amp;Database!$L$2),Database!$C70,1))</f>
        <v>4 x ±10 Vdc and 4 x 0-20 mAdc transducer inputs</v>
      </c>
      <c r="D59" s="31"/>
      <c r="E59" s="31"/>
      <c r="F59" s="31"/>
      <c r="G59" s="31"/>
      <c r="H59" s="31"/>
      <c r="I59" s="31"/>
      <c r="J59" s="31"/>
      <c r="K59" s="48" t="str">
        <f ca="1">IF(INDEX(INDIRECT(Database!$L$1&amp;":"&amp;Database!$L$2),Database!$C70,1)=0,"",INDEX(INDIRECT(Database!$L$1&amp;":"&amp;Database!$L$2),Database!$C70,2))</f>
        <v>DC</v>
      </c>
      <c r="L59" s="54"/>
      <c r="M59" s="50"/>
      <c r="N59" s="53"/>
      <c r="O59" s="50"/>
      <c r="P59" s="53"/>
      <c r="Q59" s="154"/>
    </row>
    <row r="60" spans="1:17" x14ac:dyDescent="0.2">
      <c r="A60" s="56" t="str">
        <f ca="1">IF(INDEX(INDIRECT(Database!$L$1&amp;":"&amp;Database!$L$2),Database!$C71,1)=0,"",INDEX(INDIRECT(Database!$L$1&amp;":"&amp;Database!$L$2),Database!$C71,1))</f>
        <v>Not installed</v>
      </c>
      <c r="D60" s="31"/>
      <c r="E60" s="31"/>
      <c r="F60" s="31"/>
      <c r="G60" s="31"/>
      <c r="H60" s="31"/>
      <c r="I60" s="31"/>
      <c r="J60" s="31"/>
      <c r="K60" s="48" t="str">
        <f ca="1">IF(INDEX(INDIRECT(Database!$L$1&amp;":"&amp;Database!$L$2),Database!$C71,1)=0,"",INDEX(INDIRECT(Database!$L$1&amp;":"&amp;Database!$L$2),Database!$C71,2))</f>
        <v>XX</v>
      </c>
      <c r="L60" s="54"/>
      <c r="M60" s="50"/>
      <c r="N60" s="53"/>
      <c r="O60" s="50"/>
      <c r="P60" s="53"/>
      <c r="Q60" s="154"/>
    </row>
    <row r="61" spans="1:17" x14ac:dyDescent="0.2">
      <c r="A61" s="57"/>
      <c r="C61" s="58"/>
      <c r="D61" s="59"/>
      <c r="E61" s="59"/>
      <c r="F61" s="59"/>
      <c r="G61" s="59"/>
      <c r="H61" s="58"/>
      <c r="I61" s="58"/>
      <c r="J61" s="58"/>
      <c r="K61" s="58"/>
      <c r="L61" s="54"/>
      <c r="M61" s="50"/>
      <c r="N61" s="53"/>
      <c r="O61" s="50"/>
      <c r="P61" s="53"/>
      <c r="Q61" s="154"/>
    </row>
    <row r="62" spans="1:17" x14ac:dyDescent="0.2">
      <c r="A62" s="49" t="str">
        <f>Database!B74</f>
        <v>Slot H -  Flexible I/O Options</v>
      </c>
      <c r="B62" s="45"/>
      <c r="L62" s="54"/>
      <c r="M62" s="50"/>
      <c r="N62" s="53"/>
      <c r="O62" s="50"/>
      <c r="P62" s="53"/>
      <c r="Q62" s="154"/>
    </row>
    <row r="63" spans="1:17" x14ac:dyDescent="0.2">
      <c r="A63" s="56" t="str">
        <f ca="1">IF(INDEX(INDIRECT(Database!$L$1&amp;":"&amp;Database!$L$2),Database!$C75,1)=0,"",INDEX(INDIRECT(Database!$L$1&amp;":"&amp;Database!$L$2),Database!$C75,1))</f>
        <v>16 x 24/48/125/250 V binary inputs</v>
      </c>
      <c r="K63" s="31"/>
      <c r="L63" s="48" t="str">
        <f ca="1">IF(INDEX(INDIRECT(Database!$L$1&amp;":"&amp;Database!$L$2),Database!$C75,1)=0,"",INDEX(INDIRECT(Database!$L$1&amp;":"&amp;Database!$L$2),Database!$C75,2))</f>
        <v>B1</v>
      </c>
      <c r="M63" s="50"/>
      <c r="N63" s="53"/>
      <c r="O63" s="50"/>
      <c r="P63" s="53"/>
      <c r="Q63" s="154"/>
    </row>
    <row r="64" spans="1:17" x14ac:dyDescent="0.2">
      <c r="A64" s="56" t="str">
        <f ca="1">IF(INDEX(INDIRECT(Database!$L$1&amp;":"&amp;Database!$L$2),Database!$C76,1)=0,"",INDEX(INDIRECT(Database!$L$1&amp;":"&amp;Database!$L$2),Database!$C76,1))</f>
        <v>6 x  24/48/125/250 V binary inputs and 8 x binary outputs</v>
      </c>
      <c r="K64" s="31"/>
      <c r="L64" s="48" t="str">
        <f ca="1">IF(INDEX(INDIRECT(Database!$L$1&amp;":"&amp;Database!$L$2),Database!$C76,1)=0,"",INDEX(INDIRECT(Database!$L$1&amp;":"&amp;Database!$L$2),Database!$C76,2))</f>
        <v>B2</v>
      </c>
      <c r="M64" s="50"/>
      <c r="N64" s="53"/>
      <c r="O64" s="50"/>
      <c r="P64" s="53"/>
      <c r="Q64" s="154"/>
    </row>
    <row r="65" spans="1:17" x14ac:dyDescent="0.2">
      <c r="A65" s="56" t="str">
        <f ca="1">IF(INDEX(INDIRECT(Database!$L$1&amp;":"&amp;Database!$L$2),Database!$C77,1)=0,"",INDEX(INDIRECT(Database!$L$1&amp;":"&amp;Database!$L$2),Database!$C77,1))</f>
        <v>16 x 24/48/125/250 V binary inputs</v>
      </c>
      <c r="K65" s="31"/>
      <c r="L65" s="48" t="str">
        <f ca="1">IF(INDEX(INDIRECT(Database!$L$1&amp;":"&amp;Database!$L$2),Database!$C77,1)=0,"",INDEX(INDIRECT(Database!$L$1&amp;":"&amp;Database!$L$2),Database!$C77,2))</f>
        <v>B3</v>
      </c>
      <c r="M65" s="50"/>
      <c r="N65" s="53"/>
      <c r="O65" s="50"/>
      <c r="P65" s="53"/>
      <c r="Q65" s="154"/>
    </row>
    <row r="66" spans="1:17" x14ac:dyDescent="0.2">
      <c r="A66" s="56" t="str">
        <f ca="1">IF(INDEX(INDIRECT(Database!$L$1&amp;":"&amp;Database!$L$2),Database!$C78,1)=0,"",INDEX(INDIRECT(Database!$L$1&amp;":"&amp;Database!$L$2),Database!$C78,1))</f>
        <v>6 x  24/48/125/250 V binary inputs and 8 x Form-A binary outputs</v>
      </c>
      <c r="K66" s="31"/>
      <c r="L66" s="48" t="str">
        <f ca="1">IF(INDEX(INDIRECT(Database!$L$1&amp;":"&amp;Database!$L$2),Database!$C78,1)=0,"",INDEX(INDIRECT(Database!$L$1&amp;":"&amp;Database!$L$2),Database!$C78,2))</f>
        <v>B4</v>
      </c>
      <c r="M66" s="50"/>
      <c r="N66" s="53"/>
      <c r="O66" s="50"/>
      <c r="P66" s="53"/>
      <c r="Q66" s="154"/>
    </row>
    <row r="67" spans="1:17" x14ac:dyDescent="0.2">
      <c r="A67" s="56" t="str">
        <f ca="1">IF(INDEX(INDIRECT(Database!$L$1&amp;":"&amp;Database!$L$2),Database!$C79,1)=0,"",INDEX(INDIRECT(Database!$L$1&amp;":"&amp;Database!$L$2),Database!$C79,1))</f>
        <v>4 x VT 115 V and 4 CT 1/5 A RMS measurement analog inputs</v>
      </c>
      <c r="K67" s="31"/>
      <c r="L67" s="48" t="str">
        <f ca="1">IF(INDEX(INDIRECT(Database!$L$1&amp;":"&amp;Database!$L$2),Database!$C79,1)=0,"",INDEX(INDIRECT(Database!$L$1&amp;":"&amp;Database!$L$2),Database!$C79,2))</f>
        <v>ME</v>
      </c>
      <c r="M67" s="50"/>
      <c r="N67" s="53"/>
      <c r="O67" s="50"/>
      <c r="P67" s="53"/>
      <c r="Q67" s="154"/>
    </row>
    <row r="68" spans="1:17" x14ac:dyDescent="0.2">
      <c r="A68" s="56" t="str">
        <f ca="1">IF(INDEX(INDIRECT(Database!$L$1&amp;":"&amp;Database!$L$2),Database!$C80,1)=0,"",INDEX(INDIRECT(Database!$L$1&amp;":"&amp;Database!$L$2),Database!$C80,1))</f>
        <v>4 x VT 115 V and 4 x CT 1 A RMS protection analog inputs</v>
      </c>
      <c r="K68" s="31"/>
      <c r="L68" s="48" t="str">
        <f ca="1">IF(INDEX(INDIRECT(Database!$L$1&amp;":"&amp;Database!$L$2),Database!$C80,1)=0,"",INDEX(INDIRECT(Database!$L$1&amp;":"&amp;Database!$L$2),Database!$C80,2))</f>
        <v>P1</v>
      </c>
      <c r="M68" s="50"/>
      <c r="N68" s="53"/>
      <c r="O68" s="50"/>
      <c r="P68" s="53"/>
      <c r="Q68" s="154"/>
    </row>
    <row r="69" spans="1:17" x14ac:dyDescent="0.2">
      <c r="A69" s="56" t="str">
        <f ca="1">IF(INDEX(INDIRECT(Database!$L$1&amp;":"&amp;Database!$L$2),Database!$C81,1)=0,"",INDEX(INDIRECT(Database!$L$1&amp;":"&amp;Database!$L$2),Database!$C81,1))</f>
        <v>4 x VT 115V and 4 x CT 5 A RMS protection analog inputs</v>
      </c>
      <c r="K69" s="31"/>
      <c r="L69" s="48" t="str">
        <f ca="1">IF(INDEX(INDIRECT(Database!$L$1&amp;":"&amp;Database!$L$2),Database!$C81,1)=0,"",INDEX(INDIRECT(Database!$L$1&amp;":"&amp;Database!$L$2),Database!$C81,2))</f>
        <v>P5</v>
      </c>
      <c r="M69" s="50"/>
      <c r="N69" s="53"/>
      <c r="O69" s="50"/>
      <c r="P69" s="53"/>
      <c r="Q69" s="154"/>
    </row>
    <row r="70" spans="1:17" x14ac:dyDescent="0.2">
      <c r="A70" s="56" t="str">
        <f ca="1">IF(INDEX(INDIRECT(Database!$L$1&amp;":"&amp;Database!$L$2),Database!$C82,1)=0,"",INDEX(INDIRECT(Database!$L$1&amp;":"&amp;Database!$L$2),Database!$C82,1))</f>
        <v>4 x ±10 Vdc and 4 x 0-20 mAdc transducer inputs</v>
      </c>
      <c r="K70" s="31"/>
      <c r="L70" s="48" t="str">
        <f ca="1">IF(INDEX(INDIRECT(Database!$L$1&amp;":"&amp;Database!$L$2),Database!$C82,1)=0,"",INDEX(INDIRECT(Database!$L$1&amp;":"&amp;Database!$L$2),Database!$C82,2))</f>
        <v>DC</v>
      </c>
      <c r="M70" s="50"/>
      <c r="N70" s="53"/>
      <c r="O70" s="50"/>
      <c r="P70" s="53"/>
      <c r="Q70" s="154"/>
    </row>
    <row r="71" spans="1:17" x14ac:dyDescent="0.2">
      <c r="A71" s="56" t="str">
        <f ca="1">IF(INDEX(INDIRECT(Database!$L$1&amp;":"&amp;Database!$L$2),Database!$C83,1)=0,"",INDEX(INDIRECT(Database!$L$1&amp;":"&amp;Database!$L$2),Database!$C83,1))</f>
        <v>Not installed</v>
      </c>
      <c r="K71" s="31"/>
      <c r="L71" s="48" t="str">
        <f ca="1">IF(INDEX(INDIRECT(Database!$L$1&amp;":"&amp;Database!$L$2),Database!$C83,1)=0,"",INDEX(INDIRECT(Database!$L$1&amp;":"&amp;Database!$L$2),Database!$C83,2))</f>
        <v>XX</v>
      </c>
      <c r="M71" s="50"/>
      <c r="N71" s="53"/>
      <c r="O71" s="50"/>
      <c r="P71" s="53"/>
      <c r="Q71" s="154"/>
    </row>
    <row r="72" spans="1:17" x14ac:dyDescent="0.2">
      <c r="A72" s="56"/>
      <c r="M72" s="50"/>
      <c r="N72" s="53"/>
      <c r="O72" s="50"/>
      <c r="P72" s="53"/>
      <c r="Q72" s="154"/>
    </row>
    <row r="73" spans="1:17" x14ac:dyDescent="0.2">
      <c r="A73" s="61" t="str">
        <f>Database!B86</f>
        <v>Primary Functions</v>
      </c>
      <c r="B73" s="45"/>
      <c r="C73" s="45"/>
      <c r="D73" s="62"/>
      <c r="E73" s="62"/>
      <c r="F73" s="62"/>
      <c r="G73" s="62"/>
      <c r="H73" s="45"/>
      <c r="I73" s="45"/>
      <c r="J73" s="45"/>
      <c r="K73" s="45"/>
      <c r="L73" s="45"/>
      <c r="M73" s="50"/>
      <c r="N73" s="53"/>
      <c r="O73" s="50"/>
      <c r="P73" s="53"/>
      <c r="Q73" s="154"/>
    </row>
    <row r="74" spans="1:17" x14ac:dyDescent="0.2">
      <c r="A74" s="56" t="str">
        <f ca="1">IF(INDEX(INDIRECT(Database!$L$1&amp;":"&amp;Database!$L$2),Database!$C87,1)=0,"",INDEX(INDIRECT(Database!$L$1&amp;":"&amp;Database!$L$2),Database!$C87,1))</f>
        <v>Phasor Measurement Unit (PMU)</v>
      </c>
      <c r="H74" s="31"/>
      <c r="I74" s="31"/>
      <c r="J74" s="31"/>
      <c r="K74" s="31"/>
      <c r="L74" s="31"/>
      <c r="M74" s="63" t="s">
        <v>153</v>
      </c>
      <c r="N74" s="53"/>
      <c r="O74" s="50"/>
      <c r="P74" s="53"/>
      <c r="Q74" s="154"/>
    </row>
    <row r="75" spans="1:17" x14ac:dyDescent="0.2">
      <c r="A75" s="56" t="str">
        <f ca="1">IF(INDEX(INDIRECT(Database!$L$1&amp;":"&amp;Database!$L$2),Database!$C98,1)=0,"",INDEX(INDIRECT(Database!$L$1&amp;":"&amp;Database!$L$2),Database!$C98,1))</f>
        <v>Waveform recorder</v>
      </c>
      <c r="H75" s="31"/>
      <c r="I75" s="31"/>
      <c r="J75" s="31"/>
      <c r="K75" s="31"/>
      <c r="L75" s="31"/>
      <c r="M75" s="63" t="s">
        <v>153</v>
      </c>
      <c r="N75" s="53"/>
      <c r="O75" s="50"/>
      <c r="P75" s="53"/>
      <c r="Q75" s="154"/>
    </row>
    <row r="76" spans="1:17" x14ac:dyDescent="0.2">
      <c r="A76" s="56" t="str">
        <f ca="1">IF(INDEX(INDIRECT(Database!$L$1&amp;":"&amp;Database!$L$2),Database!$C99,1)=0,"",INDEX(INDIRECT(Database!$L$1&amp;":"&amp;Database!$L$2),Database!$C99,1))</f>
        <v>Disturbance Recorder</v>
      </c>
      <c r="H76" s="31"/>
      <c r="I76" s="31"/>
      <c r="J76" s="31"/>
      <c r="K76" s="31"/>
      <c r="L76" s="31"/>
      <c r="M76" s="63" t="s">
        <v>153</v>
      </c>
      <c r="N76" s="53"/>
      <c r="O76" s="50"/>
      <c r="P76" s="53"/>
      <c r="Q76" s="154"/>
    </row>
    <row r="77" spans="1:17" x14ac:dyDescent="0.2">
      <c r="A77" s="56" t="str">
        <f ca="1">IF(INDEX(INDIRECT(Database!$L$1&amp;":"&amp;Database!$L$2),Database!$C100,1)=0,"",INDEX(INDIRECT(Database!$L$1&amp;":"&amp;Database!$L$2),Database!$C100,1))</f>
        <v>Continuous Disturbance Recorder</v>
      </c>
      <c r="H77" s="31"/>
      <c r="I77" s="31"/>
      <c r="J77" s="31"/>
      <c r="K77" s="31"/>
      <c r="L77" s="31"/>
      <c r="M77" s="63" t="s">
        <v>153</v>
      </c>
      <c r="N77" s="53"/>
      <c r="O77" s="50"/>
      <c r="P77" s="53"/>
      <c r="Q77" s="154"/>
    </row>
    <row r="78" spans="1:17" x14ac:dyDescent="0.2">
      <c r="A78" s="56" t="str">
        <f ca="1">IF(INDEX(INDIRECT(Database!$L$1&amp;":"&amp;Database!$L$2),Database!$C101,1)=0,"",INDEX(INDIRECT(Database!$L$1&amp;":"&amp;Database!$L$2),Database!$C101,1))</f>
        <v>Trend Recorder</v>
      </c>
      <c r="H78" s="31"/>
      <c r="I78" s="31"/>
      <c r="J78" s="31"/>
      <c r="K78" s="31"/>
      <c r="L78" s="31"/>
      <c r="M78" s="63" t="s">
        <v>153</v>
      </c>
      <c r="N78" s="53"/>
      <c r="O78" s="50"/>
      <c r="P78" s="53"/>
      <c r="Q78" s="154"/>
    </row>
    <row r="79" spans="1:17" x14ac:dyDescent="0.2">
      <c r="A79" s="57"/>
      <c r="C79" s="58"/>
      <c r="D79" s="59"/>
      <c r="E79" s="59"/>
      <c r="F79" s="59"/>
      <c r="G79" s="59"/>
      <c r="H79" s="58"/>
      <c r="I79" s="58"/>
      <c r="J79" s="58"/>
      <c r="K79" s="58"/>
      <c r="L79" s="58"/>
      <c r="M79" s="64"/>
      <c r="N79" s="53"/>
      <c r="O79" s="50"/>
      <c r="P79" s="53"/>
      <c r="Q79" s="154"/>
    </row>
    <row r="80" spans="1:17" x14ac:dyDescent="0.2">
      <c r="A80" s="49" t="str">
        <f>Database!B109</f>
        <v>Secondary Functions</v>
      </c>
      <c r="B80" s="45"/>
      <c r="H80" s="31"/>
      <c r="I80" s="31"/>
      <c r="J80" s="31"/>
      <c r="K80" s="31"/>
      <c r="L80" s="31"/>
      <c r="M80" s="31"/>
      <c r="N80" s="149"/>
      <c r="O80" s="50"/>
      <c r="P80" s="53"/>
      <c r="Q80" s="154"/>
    </row>
    <row r="81" spans="1:18" x14ac:dyDescent="0.2">
      <c r="A81" s="56" t="str">
        <f ca="1">IF(INDEX(INDIRECT(Database!$L$1&amp;":"&amp;Database!$L$2),Database!$C110,1)=0,"",INDEX(INDIRECT(Database!$L$1&amp;":"&amp;Database!$L$2),Database!$C110,1))</f>
        <v>Standard Issue</v>
      </c>
      <c r="H81" s="31"/>
      <c r="I81" s="31"/>
      <c r="J81" s="31"/>
      <c r="K81" s="31"/>
      <c r="L81" s="31"/>
      <c r="M81" s="31"/>
      <c r="N81" s="48">
        <f ca="1">IF(INDEX(INDIRECT(Database!$L$1&amp;":"&amp;Database!$L$2),Database!$D110,1)=0,"",INDEX(INDIRECT(Database!$L$1&amp;":"&amp;Database!$L$2),Database!$D110,2))</f>
        <v>1</v>
      </c>
      <c r="O81" s="50"/>
      <c r="P81" s="53"/>
      <c r="Q81" s="154"/>
    </row>
    <row r="82" spans="1:18" ht="15" x14ac:dyDescent="0.25">
      <c r="A82" s="56"/>
      <c r="H82" s="31"/>
      <c r="I82" s="31"/>
      <c r="J82" s="31"/>
      <c r="K82" s="31"/>
      <c r="L82" s="31"/>
      <c r="M82" s="31"/>
      <c r="N82"/>
      <c r="O82" s="50"/>
      <c r="P82" s="53"/>
      <c r="Q82" s="154"/>
    </row>
    <row r="83" spans="1:18" ht="15" x14ac:dyDescent="0.25">
      <c r="A83" s="61" t="str">
        <f>Database!B121</f>
        <v>Firmware Version</v>
      </c>
      <c r="B83" s="45"/>
      <c r="C83" s="45"/>
      <c r="D83" s="62"/>
      <c r="E83" s="62"/>
      <c r="F83" s="62"/>
      <c r="G83" s="62"/>
      <c r="H83" s="45"/>
      <c r="I83" s="45"/>
      <c r="J83" s="45"/>
      <c r="K83" s="45"/>
      <c r="L83" s="45"/>
      <c r="M83" s="45"/>
      <c r="N83" s="148"/>
      <c r="O83" s="151"/>
      <c r="P83" s="53"/>
      <c r="Q83" s="154"/>
    </row>
    <row r="84" spans="1:18" ht="15" x14ac:dyDescent="0.25">
      <c r="A84" s="56" t="str">
        <f ca="1">IF(INDEX(INDIRECT(Database!$L$1&amp;":"&amp;Database!$L$2),Database!$C122,1)=0,"",INDEX(INDIRECT(Database!$L$1&amp;":"&amp;Database!$L$2),Database!$C122,1))</f>
        <v>Latest available firmware - 02</v>
      </c>
      <c r="H84" s="31"/>
      <c r="I84" s="31"/>
      <c r="J84" s="31"/>
      <c r="K84" s="31"/>
      <c r="L84" s="31"/>
      <c r="M84" s="31"/>
      <c r="N84"/>
      <c r="O84" s="48" t="str">
        <f ca="1">Database!G122</f>
        <v>02</v>
      </c>
      <c r="P84" s="53"/>
      <c r="Q84" s="154"/>
    </row>
    <row r="85" spans="1:18" ht="15" x14ac:dyDescent="0.25">
      <c r="A85" s="56"/>
      <c r="H85" s="31"/>
      <c r="I85" s="31"/>
      <c r="J85" s="31"/>
      <c r="K85" s="31"/>
      <c r="L85" s="31"/>
      <c r="M85" s="31"/>
      <c r="N85"/>
      <c r="O85"/>
      <c r="P85" s="53"/>
      <c r="Q85" s="154"/>
    </row>
    <row r="86" spans="1:18" ht="15" x14ac:dyDescent="0.25">
      <c r="A86" s="61" t="str">
        <f>Database!B133</f>
        <v>Warranty</v>
      </c>
      <c r="B86" s="45"/>
      <c r="C86" s="45"/>
      <c r="D86" s="62"/>
      <c r="E86" s="62"/>
      <c r="F86" s="62"/>
      <c r="G86" s="62"/>
      <c r="H86" s="45"/>
      <c r="I86" s="45"/>
      <c r="J86" s="45"/>
      <c r="K86" s="45"/>
      <c r="L86" s="45"/>
      <c r="M86" s="45"/>
      <c r="N86" s="148"/>
      <c r="O86" s="148"/>
      <c r="P86" s="53"/>
      <c r="Q86" s="154"/>
    </row>
    <row r="87" spans="1:18" ht="15" x14ac:dyDescent="0.25">
      <c r="A87" s="56" t="str">
        <f ca="1">Database!F134</f>
        <v>Standard warranty</v>
      </c>
      <c r="H87" s="31"/>
      <c r="I87" s="31"/>
      <c r="J87" s="31"/>
      <c r="K87" s="31"/>
      <c r="L87" s="31"/>
      <c r="M87" s="31"/>
      <c r="N87"/>
      <c r="O87"/>
      <c r="P87" s="48">
        <f ca="1">Database!G134</f>
        <v>0</v>
      </c>
      <c r="Q87" s="154"/>
      <c r="R87"/>
    </row>
    <row r="88" spans="1:18" ht="15" x14ac:dyDescent="0.25">
      <c r="A88" s="56"/>
      <c r="H88" s="31"/>
      <c r="I88" s="31"/>
      <c r="J88" s="31"/>
      <c r="K88" s="31"/>
      <c r="L88" s="31"/>
      <c r="M88" s="31"/>
      <c r="N88"/>
      <c r="O88"/>
      <c r="Q88" s="154"/>
      <c r="R88"/>
    </row>
    <row r="89" spans="1:18" ht="15" x14ac:dyDescent="0.25">
      <c r="A89" s="61" t="str">
        <f>Database!B145</f>
        <v>Hardware Design Suffix</v>
      </c>
      <c r="B89" s="45"/>
      <c r="C89" s="45"/>
      <c r="D89" s="62"/>
      <c r="E89" s="62"/>
      <c r="F89" s="62"/>
      <c r="G89" s="62"/>
      <c r="H89" s="45"/>
      <c r="I89" s="45"/>
      <c r="J89" s="45"/>
      <c r="K89" s="45"/>
      <c r="L89" s="45"/>
      <c r="M89" s="45"/>
      <c r="N89" s="148"/>
      <c r="O89" s="148"/>
      <c r="P89" s="45"/>
      <c r="Q89" s="154"/>
    </row>
    <row r="90" spans="1:18" x14ac:dyDescent="0.2">
      <c r="A90" s="243" t="s">
        <v>244</v>
      </c>
      <c r="B90" s="243"/>
      <c r="C90" s="243"/>
      <c r="D90" s="244"/>
      <c r="E90" s="244"/>
      <c r="F90" s="244"/>
      <c r="G90" s="244"/>
      <c r="H90" s="244"/>
      <c r="I90" s="244"/>
      <c r="J90" s="244"/>
      <c r="K90" s="244"/>
      <c r="L90" s="244"/>
      <c r="M90" s="244"/>
      <c r="N90" s="244"/>
      <c r="O90" s="243"/>
      <c r="P90" s="243"/>
      <c r="Q90" s="242" t="s">
        <v>0</v>
      </c>
    </row>
    <row r="91" spans="1:18" ht="15" x14ac:dyDescent="0.25">
      <c r="A91" s="56" t="str">
        <f ca="1">IF(INDEX(INDIRECT(Database!$L$1&amp;":"&amp;Database!$L$2),Database!$C146,1)=0,"",INDEX(INDIRECT(Database!$L$1&amp;":"&amp;Database!$L$2),Database!$C146,1))</f>
        <v>Hardware Version B</v>
      </c>
      <c r="H91" s="31"/>
      <c r="I91" s="31"/>
      <c r="J91" s="31"/>
      <c r="K91" s="31"/>
      <c r="L91" s="31"/>
      <c r="M91" s="31"/>
      <c r="N91"/>
      <c r="O91"/>
      <c r="Q91" s="48" t="str">
        <f ca="1">IF(INDEX(INDIRECT(Database!$L$1&amp;":"&amp;Database!$L$2),Database!$D146,1)=0,"",INDEX(INDIRECT(Database!$L$1&amp;":"&amp;Database!$L$2),Database!$D146,2))</f>
        <v>B</v>
      </c>
    </row>
    <row r="92" spans="1:18" ht="15" x14ac:dyDescent="0.25">
      <c r="A92" s="57"/>
      <c r="B92" s="58"/>
      <c r="C92" s="58"/>
      <c r="D92" s="59"/>
      <c r="E92" s="59"/>
      <c r="F92" s="59"/>
      <c r="G92" s="59"/>
      <c r="H92" s="58"/>
      <c r="I92" s="58"/>
      <c r="J92" s="58"/>
      <c r="K92" s="58"/>
      <c r="L92" s="58"/>
      <c r="M92" s="58"/>
      <c r="N92" s="155"/>
      <c r="O92" s="155"/>
      <c r="P92" s="58"/>
      <c r="Q92" s="156"/>
    </row>
  </sheetData>
  <sheetProtection algorithmName="SHA-512" hashValue="qK2Jr35+S0maFRJ/FsIDDhkXtVi7mFZoRTE7v62CN9dXWuIcBVJbexcV+8KfLkBYYAd7w7JITMXxbAsyrcJnZg==" saltValue="5Eh3vYYH/Uo4EUHmCyNfIg==" spinCount="100000" sheet="1" objects="1" scenarios="1"/>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U37"/>
  <sheetViews>
    <sheetView showGridLines="0" showRowColHeaders="0" zoomScaleNormal="100" workbookViewId="0">
      <pane ySplit="3" topLeftCell="A15" activePane="bottomLeft" state="frozen"/>
      <selection pane="bottomLeft" activeCell="U21" sqref="U21"/>
    </sheetView>
  </sheetViews>
  <sheetFormatPr defaultColWidth="9.140625" defaultRowHeight="14.25" x14ac:dyDescent="0.2"/>
  <cols>
    <col min="1" max="1" width="4.140625" style="2" customWidth="1"/>
    <col min="2" max="4" width="9.140625" style="2"/>
    <col min="5" max="5" width="34.28515625" style="2" customWidth="1"/>
    <col min="6" max="6" width="7.7109375" style="2" customWidth="1"/>
    <col min="7" max="7" width="5.140625" style="19" customWidth="1"/>
    <col min="8" max="8" width="3.28515625" style="19" customWidth="1"/>
    <col min="9" max="10" width="5" style="19" bestFit="1" customWidth="1"/>
    <col min="11" max="14" width="5.5703125" style="19" bestFit="1" customWidth="1"/>
    <col min="15" max="15" width="5.7109375" style="19" bestFit="1" customWidth="1"/>
    <col min="16" max="16" width="5.7109375" style="19" customWidth="1"/>
    <col min="17" max="17" width="3.5703125" style="19" customWidth="1"/>
    <col min="18" max="18" width="5.7109375" style="2" bestFit="1" customWidth="1"/>
    <col min="19" max="19" width="4.7109375" style="113" customWidth="1"/>
    <col min="20" max="20" width="4.7109375" style="2" customWidth="1"/>
    <col min="21" max="21" width="3.5703125" style="2" customWidth="1"/>
    <col min="22" max="16384" width="9.140625" style="2"/>
  </cols>
  <sheetData>
    <row r="1" spans="1:20" ht="18" x14ac:dyDescent="0.25">
      <c r="A1" s="133" t="str">
        <f ca="1">Database!F2</f>
        <v>DR60 Digital Recorder</v>
      </c>
      <c r="B1" s="65"/>
      <c r="C1" s="65"/>
      <c r="D1" s="65"/>
      <c r="E1" s="65"/>
      <c r="F1" s="65"/>
      <c r="G1" s="66"/>
      <c r="H1" s="66"/>
      <c r="I1" s="66"/>
      <c r="J1" s="66"/>
      <c r="K1" s="66"/>
      <c r="L1" s="66"/>
      <c r="M1" s="66"/>
      <c r="N1" s="66"/>
      <c r="O1" s="66"/>
      <c r="P1" s="66"/>
      <c r="Q1" s="66"/>
      <c r="R1" s="65"/>
      <c r="S1" s="157"/>
    </row>
    <row r="2" spans="1:20" ht="15" x14ac:dyDescent="0.25">
      <c r="A2" s="67"/>
      <c r="B2" s="23"/>
      <c r="C2" s="23"/>
      <c r="D2" s="23"/>
      <c r="E2" s="23"/>
      <c r="F2" s="41" t="s">
        <v>113</v>
      </c>
      <c r="G2" s="48">
        <v>5</v>
      </c>
      <c r="H2" s="47">
        <v>6</v>
      </c>
      <c r="I2" s="47" t="s">
        <v>114</v>
      </c>
      <c r="J2" s="47" t="s">
        <v>115</v>
      </c>
      <c r="K2" s="47" t="s">
        <v>116</v>
      </c>
      <c r="L2" s="142" t="s">
        <v>117</v>
      </c>
      <c r="M2" s="143" t="s">
        <v>118</v>
      </c>
      <c r="N2" s="47" t="s">
        <v>119</v>
      </c>
      <c r="O2" s="144">
        <v>19</v>
      </c>
      <c r="P2" s="144">
        <v>20</v>
      </c>
      <c r="Q2" s="144">
        <v>21</v>
      </c>
      <c r="R2" s="145" t="s">
        <v>121</v>
      </c>
      <c r="S2" s="145">
        <v>24</v>
      </c>
      <c r="T2" s="145">
        <v>25</v>
      </c>
    </row>
    <row r="3" spans="1:20" s="22" customFormat="1" ht="18" x14ac:dyDescent="0.25">
      <c r="A3" s="68"/>
      <c r="B3" s="24"/>
      <c r="C3" s="24"/>
      <c r="D3" s="24"/>
      <c r="E3" s="25"/>
      <c r="F3" s="158" t="s">
        <v>83</v>
      </c>
      <c r="G3" s="20">
        <f ca="1">$G$5</f>
        <v>3</v>
      </c>
      <c r="H3" s="20" t="str">
        <f ca="1">$G$7</f>
        <v>O</v>
      </c>
      <c r="I3" s="20" t="str">
        <f ca="1">$G$9</f>
        <v>XX</v>
      </c>
      <c r="J3" s="20" t="str">
        <f ca="1">$G$11</f>
        <v>XX</v>
      </c>
      <c r="K3" s="20" t="str">
        <f ca="1">$G$13</f>
        <v>XX</v>
      </c>
      <c r="L3" s="20" t="str">
        <f ca="1">$G$15</f>
        <v>XX</v>
      </c>
      <c r="M3" s="20" t="str">
        <f ca="1">$G$17</f>
        <v>XX</v>
      </c>
      <c r="N3" s="20" t="str">
        <f ca="1">$G$19</f>
        <v>XX</v>
      </c>
      <c r="O3" s="20" t="str">
        <f>$G$21</f>
        <v>0</v>
      </c>
      <c r="P3" s="20" t="str">
        <f ca="1">$G$22</f>
        <v>1</v>
      </c>
      <c r="Q3" s="20">
        <f ca="1">$G$27</f>
        <v>1</v>
      </c>
      <c r="R3" s="20" t="str">
        <f ca="1">$G$29</f>
        <v>02</v>
      </c>
      <c r="S3" s="20">
        <f ca="1">$G$31</f>
        <v>0</v>
      </c>
      <c r="T3" s="20" t="str">
        <f ca="1">$G$33</f>
        <v>B</v>
      </c>
    </row>
    <row r="4" spans="1:20" ht="18" customHeight="1" x14ac:dyDescent="0.25">
      <c r="A4" s="71" t="str">
        <f>Database!$B$5</f>
        <v>Slot A - Power Supply</v>
      </c>
      <c r="B4" s="40"/>
      <c r="G4" s="50"/>
      <c r="H4" s="51"/>
      <c r="I4" s="52"/>
      <c r="J4" s="50"/>
      <c r="K4" s="51"/>
      <c r="L4" s="52"/>
      <c r="M4" s="50"/>
      <c r="N4" s="51"/>
      <c r="O4" s="52"/>
      <c r="P4" s="50"/>
      <c r="Q4" s="51"/>
      <c r="R4" s="52"/>
      <c r="S4" s="50"/>
      <c r="T4" s="51"/>
    </row>
    <row r="5" spans="1:20" ht="27" customHeight="1" x14ac:dyDescent="0.2">
      <c r="A5" s="69"/>
      <c r="D5" s="70"/>
      <c r="G5" s="20">
        <f ca="1">Database!$G$5</f>
        <v>3</v>
      </c>
      <c r="H5" s="51"/>
      <c r="I5" s="52"/>
      <c r="J5" s="50"/>
      <c r="K5" s="51"/>
      <c r="L5" s="52"/>
      <c r="M5" s="50"/>
      <c r="N5" s="51"/>
      <c r="O5" s="52"/>
      <c r="P5" s="50"/>
      <c r="Q5" s="51"/>
      <c r="R5" s="52"/>
      <c r="S5" s="50" t="str">
        <f ca="1">IF(Database!I5="N",HLOOKUP(Language!$C$3,Language!$E$1:$Z500,50,FALSE),"")</f>
        <v/>
      </c>
      <c r="T5" s="51"/>
    </row>
    <row r="6" spans="1:20" ht="18" customHeight="1" x14ac:dyDescent="0.2">
      <c r="A6" s="71" t="str">
        <f>Database!B10</f>
        <v>Slot B - Hardware Options</v>
      </c>
      <c r="G6" s="21"/>
      <c r="H6" s="51"/>
      <c r="I6" s="52"/>
      <c r="J6" s="50"/>
      <c r="K6" s="51"/>
      <c r="L6" s="52"/>
      <c r="M6" s="50"/>
      <c r="N6" s="51"/>
      <c r="O6" s="52"/>
      <c r="P6" s="50"/>
      <c r="Q6" s="51"/>
      <c r="R6" s="52"/>
      <c r="S6" s="50"/>
      <c r="T6" s="51"/>
    </row>
    <row r="7" spans="1:20" ht="24" customHeight="1" x14ac:dyDescent="0.2">
      <c r="A7" s="69"/>
      <c r="G7" s="20" t="str">
        <f ca="1">Database!$G$10</f>
        <v>O</v>
      </c>
      <c r="H7" s="51"/>
      <c r="I7" s="52"/>
      <c r="J7" s="50"/>
      <c r="K7" s="51"/>
      <c r="L7" s="52"/>
      <c r="M7" s="50"/>
      <c r="N7" s="51"/>
      <c r="O7" s="52"/>
      <c r="P7" s="50"/>
      <c r="Q7" s="51"/>
      <c r="R7" s="52"/>
      <c r="S7" s="50" t="str">
        <f>IF(Database!I10="N",HLOOKUP(Language!$C$3,Language!$E$1:$Z500,50,FALSE),"")</f>
        <v/>
      </c>
      <c r="T7" s="51"/>
    </row>
    <row r="8" spans="1:20" ht="18" customHeight="1" x14ac:dyDescent="0.2">
      <c r="A8" s="71" t="str">
        <f>Database!B14</f>
        <v>Slot C - Binary I/O</v>
      </c>
      <c r="B8" s="72"/>
      <c r="G8" s="52"/>
      <c r="H8" s="52"/>
      <c r="I8" s="52"/>
      <c r="J8" s="50"/>
      <c r="K8" s="51"/>
      <c r="L8" s="52"/>
      <c r="M8" s="50"/>
      <c r="N8" s="51"/>
      <c r="O8" s="52"/>
      <c r="P8" s="50"/>
      <c r="Q8" s="51"/>
      <c r="R8" s="52"/>
      <c r="S8" s="50"/>
      <c r="T8" s="51"/>
    </row>
    <row r="9" spans="1:20" ht="60" customHeight="1" x14ac:dyDescent="0.2">
      <c r="A9" s="69"/>
      <c r="G9" s="20" t="str">
        <f ca="1">Database!$G$14</f>
        <v>XX</v>
      </c>
      <c r="H9" s="52"/>
      <c r="I9" s="52"/>
      <c r="J9" s="50"/>
      <c r="K9" s="51"/>
      <c r="L9" s="52"/>
      <c r="M9" s="50"/>
      <c r="N9" s="51"/>
      <c r="O9" s="52"/>
      <c r="P9" s="50"/>
      <c r="Q9" s="51"/>
      <c r="R9" s="52"/>
      <c r="S9" s="50" t="str">
        <f ca="1">IF(Database!I14="N",HLOOKUP(Language!$C$3,Language!$E$1:$Z500,50,FALSE),"")</f>
        <v/>
      </c>
      <c r="T9" s="51"/>
    </row>
    <row r="10" spans="1:20" ht="18" customHeight="1" x14ac:dyDescent="0.2">
      <c r="A10" s="71" t="str">
        <f>Database!B26</f>
        <v>Slot D - Binary I/O</v>
      </c>
      <c r="G10" s="50"/>
      <c r="H10" s="50"/>
      <c r="I10" s="50"/>
      <c r="J10" s="50"/>
      <c r="K10" s="51"/>
      <c r="L10" s="52"/>
      <c r="M10" s="50"/>
      <c r="N10" s="51"/>
      <c r="O10" s="52"/>
      <c r="P10" s="50"/>
      <c r="Q10" s="51"/>
      <c r="R10" s="52"/>
      <c r="S10" s="50"/>
      <c r="T10" s="51"/>
    </row>
    <row r="11" spans="1:20" ht="54.95" customHeight="1" x14ac:dyDescent="0.2">
      <c r="A11" s="69"/>
      <c r="G11" s="20" t="str">
        <f ca="1">Database!$G$26</f>
        <v>XX</v>
      </c>
      <c r="H11" s="50"/>
      <c r="I11" s="50"/>
      <c r="J11" s="50"/>
      <c r="K11" s="51"/>
      <c r="L11" s="52"/>
      <c r="M11" s="50"/>
      <c r="N11" s="51"/>
      <c r="O11" s="52"/>
      <c r="P11" s="50"/>
      <c r="Q11" s="51"/>
      <c r="R11" s="52"/>
      <c r="S11" s="50" t="str">
        <f ca="1">IF(Database!I26="N",HLOOKUP(Language!$C$3,Language!$E$1:$Z500,50,FALSE),"")</f>
        <v/>
      </c>
      <c r="T11" s="51"/>
    </row>
    <row r="12" spans="1:20" ht="18" customHeight="1" x14ac:dyDescent="0.2">
      <c r="A12" s="71" t="str">
        <f>Database!B38</f>
        <v>Slot E -  Flexible I/O Options</v>
      </c>
      <c r="G12" s="51"/>
      <c r="H12" s="51"/>
      <c r="I12" s="51"/>
      <c r="J12" s="51"/>
      <c r="K12" s="51"/>
      <c r="L12" s="52"/>
      <c r="M12" s="50"/>
      <c r="N12" s="51"/>
      <c r="O12" s="52"/>
      <c r="P12" s="50"/>
      <c r="Q12" s="51"/>
      <c r="R12" s="52"/>
      <c r="S12" s="50"/>
      <c r="T12" s="51"/>
    </row>
    <row r="13" spans="1:20" ht="99.95" customHeight="1" x14ac:dyDescent="0.2">
      <c r="A13" s="69"/>
      <c r="G13" s="20" t="str">
        <f ca="1">Database!G38</f>
        <v>XX</v>
      </c>
      <c r="H13" s="51"/>
      <c r="I13" s="51"/>
      <c r="J13" s="51"/>
      <c r="K13" s="51"/>
      <c r="L13" s="52"/>
      <c r="M13" s="50"/>
      <c r="N13" s="51"/>
      <c r="O13" s="52"/>
      <c r="P13" s="50"/>
      <c r="Q13" s="51"/>
      <c r="R13" s="52"/>
      <c r="S13" s="50" t="str">
        <f ca="1">IF(Database!I38="N",HLOOKUP(Language!$C$3,Language!$E$1:$Z500,50,FALSE),"")</f>
        <v/>
      </c>
      <c r="T13" s="51"/>
    </row>
    <row r="14" spans="1:20" ht="18" customHeight="1" x14ac:dyDescent="0.25">
      <c r="A14" s="71" t="str">
        <f>Database!B50</f>
        <v>Slot F - Flexible I/O Options</v>
      </c>
      <c r="B14" s="40"/>
      <c r="C14" s="73"/>
      <c r="G14" s="52"/>
      <c r="H14" s="52"/>
      <c r="I14" s="52"/>
      <c r="J14" s="52"/>
      <c r="K14" s="52"/>
      <c r="L14" s="52"/>
      <c r="M14" s="50"/>
      <c r="N14" s="51"/>
      <c r="O14" s="52"/>
      <c r="P14" s="50"/>
      <c r="Q14" s="51"/>
      <c r="R14" s="52"/>
      <c r="S14" s="50"/>
      <c r="T14" s="51"/>
    </row>
    <row r="15" spans="1:20" ht="99.95" customHeight="1" x14ac:dyDescent="0.2">
      <c r="A15" s="69"/>
      <c r="G15" s="20" t="str">
        <f ca="1">Database!$G$50</f>
        <v>XX</v>
      </c>
      <c r="H15" s="52"/>
      <c r="I15" s="52"/>
      <c r="J15" s="52"/>
      <c r="K15" s="52"/>
      <c r="L15" s="52"/>
      <c r="M15" s="50"/>
      <c r="N15" s="51"/>
      <c r="O15" s="52"/>
      <c r="P15" s="50"/>
      <c r="Q15" s="51"/>
      <c r="R15" s="52"/>
      <c r="S15" s="50" t="str">
        <f>IF(Database!I50="N",HLOOKUP(Language!$C$3,Language!$E$1:$Z500,50,FALSE),"")</f>
        <v/>
      </c>
      <c r="T15" s="51"/>
    </row>
    <row r="16" spans="1:20" ht="17.25" customHeight="1" x14ac:dyDescent="0.2">
      <c r="A16" s="71" t="str">
        <f>Database!$B$62</f>
        <v>Slot G -  Flexible I/O Options</v>
      </c>
      <c r="G16" s="50"/>
      <c r="H16" s="50"/>
      <c r="I16" s="50"/>
      <c r="J16" s="50"/>
      <c r="K16" s="50"/>
      <c r="L16" s="50"/>
      <c r="M16" s="50"/>
      <c r="N16" s="51"/>
      <c r="O16" s="52"/>
      <c r="P16" s="50"/>
      <c r="Q16" s="51"/>
      <c r="R16" s="52"/>
      <c r="S16" s="50"/>
      <c r="T16" s="51"/>
    </row>
    <row r="17" spans="1:21" ht="99.95" customHeight="1" x14ac:dyDescent="0.2">
      <c r="A17" s="69"/>
      <c r="G17" s="20" t="str">
        <f ca="1">Database!$G$62</f>
        <v>XX</v>
      </c>
      <c r="H17" s="50"/>
      <c r="I17" s="50"/>
      <c r="J17" s="50"/>
      <c r="K17" s="50"/>
      <c r="L17" s="50"/>
      <c r="M17" s="50"/>
      <c r="N17" s="51"/>
      <c r="O17" s="52"/>
      <c r="P17" s="50"/>
      <c r="Q17" s="51"/>
      <c r="R17" s="52"/>
      <c r="S17" s="50" t="str">
        <f ca="1">IF(Database!I62="N",HLOOKUP(Language!$C$3,Language!$E$1:$Z500,50,FALSE),"")</f>
        <v/>
      </c>
      <c r="T17" s="51"/>
    </row>
    <row r="18" spans="1:21" ht="18" customHeight="1" x14ac:dyDescent="0.2">
      <c r="A18" s="71" t="str">
        <f>Database!$B$74</f>
        <v>Slot H -  Flexible I/O Options</v>
      </c>
      <c r="G18" s="51"/>
      <c r="H18" s="51"/>
      <c r="I18" s="51"/>
      <c r="J18" s="51"/>
      <c r="K18" s="51"/>
      <c r="L18" s="51"/>
      <c r="M18" s="51"/>
      <c r="N18" s="51"/>
      <c r="O18" s="52"/>
      <c r="P18" s="50"/>
      <c r="Q18" s="51"/>
      <c r="R18" s="52"/>
      <c r="S18" s="50"/>
      <c r="T18" s="51"/>
    </row>
    <row r="19" spans="1:21" ht="99.95" customHeight="1" x14ac:dyDescent="0.2">
      <c r="A19" s="69"/>
      <c r="G19" s="20" t="str">
        <f ca="1">Database!$G$74</f>
        <v>XX</v>
      </c>
      <c r="H19" s="51"/>
      <c r="I19" s="51"/>
      <c r="J19" s="51"/>
      <c r="K19" s="51"/>
      <c r="L19" s="51"/>
      <c r="M19" s="51"/>
      <c r="N19" s="51"/>
      <c r="O19" s="52"/>
      <c r="P19" s="50"/>
      <c r="Q19" s="51"/>
      <c r="R19" s="52"/>
      <c r="S19" s="50" t="str">
        <f>IF(Database!I74="N",HLOOKUP(Language!$C$3,Language!$E$1:$Z500,50,FALSE),"")</f>
        <v/>
      </c>
      <c r="T19" s="51"/>
    </row>
    <row r="20" spans="1:21" ht="18" customHeight="1" x14ac:dyDescent="0.2">
      <c r="A20" s="71" t="str">
        <f>Database!B86</f>
        <v>Primary Functions</v>
      </c>
      <c r="G20" s="52"/>
      <c r="H20" s="52"/>
      <c r="I20" s="52"/>
      <c r="J20" s="52"/>
      <c r="K20" s="52"/>
      <c r="L20" s="52"/>
      <c r="M20" s="52"/>
      <c r="N20" s="52"/>
      <c r="O20" s="52"/>
      <c r="P20" s="50"/>
      <c r="Q20" s="51"/>
      <c r="R20" s="52"/>
      <c r="S20" s="50"/>
      <c r="T20" s="51"/>
    </row>
    <row r="21" spans="1:21" ht="23.25" customHeight="1" x14ac:dyDescent="0.2">
      <c r="A21" s="137"/>
      <c r="B21" s="221" t="str">
        <f ca="1">Database!$F$87</f>
        <v>Phasor Measurement Unit (PMU)</v>
      </c>
      <c r="C21" s="170"/>
      <c r="D21" s="170"/>
      <c r="E21" s="170"/>
      <c r="F21" s="146"/>
      <c r="G21" s="20" t="str">
        <f>Database!G86</f>
        <v>0</v>
      </c>
      <c r="H21" s="52"/>
      <c r="I21" s="52"/>
      <c r="J21" s="52"/>
      <c r="K21" s="52"/>
      <c r="L21" s="52"/>
      <c r="M21" s="52"/>
      <c r="N21" s="52"/>
      <c r="O21" s="52"/>
      <c r="P21" s="50"/>
      <c r="Q21" s="51"/>
      <c r="R21" s="52"/>
      <c r="S21" s="50"/>
      <c r="T21" s="51"/>
      <c r="U21" s="233" t="str">
        <f>IF(Database!J98,"",HLOOKUP(Language!$C$3,Language!$E$1:$Z566,76,FALSE))</f>
        <v/>
      </c>
    </row>
    <row r="22" spans="1:21" ht="19.5" customHeight="1" x14ac:dyDescent="0.2">
      <c r="A22" s="137"/>
      <c r="B22" s="221" t="str">
        <f ca="1">Database!$F$98</f>
        <v>Waveform recorder</v>
      </c>
      <c r="C22" s="170"/>
      <c r="D22" s="170"/>
      <c r="E22" s="170"/>
      <c r="F22" s="138"/>
      <c r="G22" s="261" t="str">
        <f ca="1">Database!$G$97</f>
        <v>1</v>
      </c>
      <c r="H22" s="50"/>
      <c r="I22" s="50"/>
      <c r="J22" s="50"/>
      <c r="K22" s="50"/>
      <c r="L22" s="50"/>
      <c r="M22" s="50"/>
      <c r="N22" s="50"/>
      <c r="O22" s="50"/>
      <c r="P22" s="50"/>
      <c r="Q22" s="51"/>
      <c r="R22" s="52"/>
      <c r="S22" s="50"/>
      <c r="T22" s="51"/>
      <c r="U22" s="233"/>
    </row>
    <row r="23" spans="1:21" ht="18" customHeight="1" x14ac:dyDescent="0.2">
      <c r="B23" s="220" t="str">
        <f ca="1">Database!$F$99</f>
        <v>Disturbance Recorder</v>
      </c>
      <c r="C23" s="171"/>
      <c r="D23" s="171"/>
      <c r="E23" s="171"/>
      <c r="G23" s="261"/>
      <c r="H23" s="50"/>
      <c r="I23" s="50"/>
      <c r="J23" s="50"/>
      <c r="K23" s="50"/>
      <c r="L23" s="50"/>
      <c r="M23" s="50"/>
      <c r="N23" s="50"/>
      <c r="O23" s="50"/>
      <c r="P23" s="50"/>
      <c r="Q23" s="51"/>
      <c r="R23" s="52"/>
      <c r="S23" s="50"/>
      <c r="T23" s="51"/>
    </row>
    <row r="24" spans="1:21" ht="23.25" customHeight="1" x14ac:dyDescent="0.2">
      <c r="B24" s="220" t="str">
        <f ca="1">Database!$F$100</f>
        <v>Continuous Disturbance Recorder</v>
      </c>
      <c r="C24" s="171"/>
      <c r="D24" s="171"/>
      <c r="E24" s="171"/>
      <c r="F24" s="147"/>
      <c r="G24" s="261"/>
      <c r="H24" s="50"/>
      <c r="I24" s="50"/>
      <c r="J24" s="50"/>
      <c r="K24" s="50"/>
      <c r="L24" s="50"/>
      <c r="M24" s="50"/>
      <c r="N24" s="50"/>
      <c r="O24" s="50"/>
      <c r="P24" s="50"/>
      <c r="Q24" s="51"/>
      <c r="R24" s="52"/>
      <c r="S24" s="50"/>
      <c r="T24" s="51"/>
    </row>
    <row r="25" spans="1:21" ht="23.25" customHeight="1" x14ac:dyDescent="0.2">
      <c r="A25" s="139"/>
      <c r="B25" s="219" t="str">
        <f ca="1">Database!$F$101</f>
        <v>Trend Recorder</v>
      </c>
      <c r="C25" s="172"/>
      <c r="D25" s="172"/>
      <c r="E25" s="172"/>
      <c r="F25" s="141"/>
      <c r="G25" s="262"/>
      <c r="H25" s="50"/>
      <c r="I25" s="50"/>
      <c r="J25" s="50"/>
      <c r="K25" s="50"/>
      <c r="L25" s="50"/>
      <c r="M25" s="50"/>
      <c r="N25" s="50"/>
      <c r="O25" s="50"/>
      <c r="P25" s="50"/>
      <c r="Q25" s="51"/>
      <c r="R25" s="52"/>
      <c r="S25" s="50"/>
      <c r="T25" s="51"/>
    </row>
    <row r="26" spans="1:21" ht="18" customHeight="1" x14ac:dyDescent="0.2">
      <c r="A26" s="71" t="str">
        <f>Database!B109</f>
        <v>Secondary Functions</v>
      </c>
      <c r="G26" s="51"/>
      <c r="H26" s="51"/>
      <c r="I26" s="51"/>
      <c r="J26" s="51"/>
      <c r="K26" s="51"/>
      <c r="L26" s="51"/>
      <c r="M26" s="51"/>
      <c r="N26" s="51"/>
      <c r="O26" s="51"/>
      <c r="P26" s="51"/>
      <c r="Q26" s="51"/>
      <c r="R26" s="52"/>
      <c r="S26" s="50"/>
      <c r="T26" s="51"/>
    </row>
    <row r="27" spans="1:21" ht="21.75" customHeight="1" x14ac:dyDescent="0.2">
      <c r="A27" s="23"/>
      <c r="B27" s="140"/>
      <c r="C27" s="23"/>
      <c r="D27" s="23"/>
      <c r="E27" s="23"/>
      <c r="F27" s="146"/>
      <c r="G27" s="20">
        <f ca="1">Database!G109</f>
        <v>1</v>
      </c>
      <c r="H27" s="51"/>
      <c r="I27" s="51"/>
      <c r="J27" s="51"/>
      <c r="K27" s="51"/>
      <c r="L27" s="51"/>
      <c r="M27" s="51"/>
      <c r="N27" s="51"/>
      <c r="O27" s="51"/>
      <c r="P27" s="51"/>
      <c r="Q27" s="51"/>
      <c r="R27" s="52"/>
      <c r="S27" s="50" t="str">
        <f ca="1">IF(Database!I109="N",HLOOKUP(Language!$C$3,Language!$E$1:$Z500,50,FALSE),"")</f>
        <v/>
      </c>
      <c r="T27" s="51"/>
    </row>
    <row r="28" spans="1:21" ht="17.25" customHeight="1" x14ac:dyDescent="0.2">
      <c r="A28" s="71" t="str">
        <f>Database!B121</f>
        <v>Firmware Version</v>
      </c>
      <c r="F28" s="138"/>
      <c r="G28" s="52"/>
      <c r="H28" s="52"/>
      <c r="I28" s="52"/>
      <c r="J28" s="52"/>
      <c r="K28" s="52"/>
      <c r="L28" s="52"/>
      <c r="M28" s="52"/>
      <c r="N28" s="52"/>
      <c r="O28" s="52"/>
      <c r="P28" s="52"/>
      <c r="Q28" s="52"/>
      <c r="R28" s="52"/>
      <c r="S28" s="50"/>
      <c r="T28" s="51"/>
    </row>
    <row r="29" spans="1:21" ht="22.5" customHeight="1" x14ac:dyDescent="0.2">
      <c r="F29" s="147"/>
      <c r="G29" s="20" t="str">
        <f ca="1">Database!G121</f>
        <v>02</v>
      </c>
      <c r="H29" s="52"/>
      <c r="I29" s="52"/>
      <c r="J29" s="52"/>
      <c r="K29" s="52"/>
      <c r="L29" s="52"/>
      <c r="M29" s="52"/>
      <c r="N29" s="52"/>
      <c r="O29" s="52"/>
      <c r="P29" s="52"/>
      <c r="Q29" s="52"/>
      <c r="R29" s="52"/>
      <c r="S29" s="50"/>
      <c r="T29" s="51"/>
    </row>
    <row r="30" spans="1:21" ht="15.75" x14ac:dyDescent="0.2">
      <c r="A30" s="71" t="str">
        <f>Database!B133</f>
        <v>Warranty</v>
      </c>
      <c r="F30" s="147"/>
      <c r="G30" s="50"/>
      <c r="H30" s="50"/>
      <c r="I30" s="50"/>
      <c r="J30" s="50"/>
      <c r="K30" s="50"/>
      <c r="L30" s="50"/>
      <c r="M30" s="50"/>
      <c r="N30" s="50"/>
      <c r="O30" s="50"/>
      <c r="P30" s="50"/>
      <c r="Q30" s="50"/>
      <c r="R30" s="50"/>
      <c r="S30" s="50"/>
      <c r="T30" s="51"/>
    </row>
    <row r="31" spans="1:21" ht="21" customHeight="1" x14ac:dyDescent="0.2">
      <c r="F31" s="147"/>
      <c r="G31" s="20">
        <f ca="1">Database!G133</f>
        <v>0</v>
      </c>
      <c r="H31" s="50"/>
      <c r="I31" s="50"/>
      <c r="J31" s="50"/>
      <c r="K31" s="50"/>
      <c r="L31" s="50"/>
      <c r="M31" s="50"/>
      <c r="N31" s="50"/>
      <c r="O31" s="50"/>
      <c r="P31" s="50"/>
      <c r="Q31" s="50"/>
      <c r="R31" s="50"/>
      <c r="S31" s="50"/>
      <c r="T31" s="51"/>
    </row>
    <row r="32" spans="1:21" ht="15.75" x14ac:dyDescent="0.2">
      <c r="A32" s="71" t="str">
        <f>Database!B145</f>
        <v>Hardware Design Suffix</v>
      </c>
      <c r="F32" s="147"/>
      <c r="G32" s="51"/>
      <c r="H32" s="51"/>
      <c r="I32" s="51"/>
      <c r="J32" s="51"/>
      <c r="K32" s="51"/>
      <c r="L32" s="51"/>
      <c r="M32" s="51"/>
      <c r="N32" s="51"/>
      <c r="O32" s="51"/>
      <c r="P32" s="51"/>
      <c r="Q32" s="51"/>
      <c r="R32" s="51"/>
      <c r="S32" s="51"/>
      <c r="T32" s="51"/>
    </row>
    <row r="33" spans="1:20" ht="21" customHeight="1" x14ac:dyDescent="0.2">
      <c r="F33" s="147"/>
      <c r="G33" s="20" t="str">
        <f ca="1">Database!G145</f>
        <v>B</v>
      </c>
      <c r="H33" s="51"/>
      <c r="I33" s="51"/>
      <c r="J33" s="51"/>
      <c r="K33" s="51"/>
      <c r="L33" s="51"/>
      <c r="M33" s="51"/>
      <c r="N33" s="51"/>
      <c r="O33" s="51"/>
      <c r="P33" s="51"/>
      <c r="Q33" s="51"/>
      <c r="R33" s="51"/>
      <c r="S33" s="51"/>
      <c r="T33" s="51"/>
    </row>
    <row r="34" spans="1:20" x14ac:dyDescent="0.2">
      <c r="A34" s="69"/>
      <c r="S34" s="114"/>
    </row>
    <row r="35" spans="1:20" x14ac:dyDescent="0.2">
      <c r="S35" s="114"/>
    </row>
    <row r="36" spans="1:20" x14ac:dyDescent="0.2">
      <c r="S36" s="114"/>
    </row>
    <row r="37" spans="1:20" x14ac:dyDescent="0.2">
      <c r="S37" s="114"/>
    </row>
  </sheetData>
  <mergeCells count="1">
    <mergeCell ref="G22:G25"/>
  </mergeCells>
  <phoneticPr fontId="18" type="noConversion"/>
  <pageMargins left="0.70866141732283472" right="0.70866141732283472" top="0.74803149606299213" bottom="0.74803149606299213" header="0.31496062992125984" footer="0.31496062992125984"/>
  <pageSetup paperSize="9" orientation="portrait" blackAndWhite="1" draft="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List Box 2">
              <controlPr defaultSize="0" autoLine="0" autoPict="0">
                <anchor moveWithCells="1">
                  <from>
                    <xdr:col>0</xdr:col>
                    <xdr:colOff>0</xdr:colOff>
                    <xdr:row>4</xdr:row>
                    <xdr:rowOff>0</xdr:rowOff>
                  </from>
                  <to>
                    <xdr:col>6</xdr:col>
                    <xdr:colOff>0</xdr:colOff>
                    <xdr:row>5</xdr:row>
                    <xdr:rowOff>0</xdr:rowOff>
                  </to>
                </anchor>
              </controlPr>
            </control>
          </mc:Choice>
        </mc:AlternateContent>
        <mc:AlternateContent xmlns:mc="http://schemas.openxmlformats.org/markup-compatibility/2006">
          <mc:Choice Requires="x14">
            <control shapeId="8197" r:id="rId5" name="List Box 5">
              <controlPr defaultSize="0" autoLine="0" autoPict="0">
                <anchor moveWithCells="1">
                  <from>
                    <xdr:col>0</xdr:col>
                    <xdr:colOff>0</xdr:colOff>
                    <xdr:row>6</xdr:row>
                    <xdr:rowOff>0</xdr:rowOff>
                  </from>
                  <to>
                    <xdr:col>6</xdr:col>
                    <xdr:colOff>0</xdr:colOff>
                    <xdr:row>7</xdr:row>
                    <xdr:rowOff>0</xdr:rowOff>
                  </to>
                </anchor>
              </controlPr>
            </control>
          </mc:Choice>
        </mc:AlternateContent>
        <mc:AlternateContent xmlns:mc="http://schemas.openxmlformats.org/markup-compatibility/2006">
          <mc:Choice Requires="x14">
            <control shapeId="8199" r:id="rId6" name="List Box 7">
              <controlPr defaultSize="0" autoLine="0" autoPict="0">
                <anchor moveWithCells="1">
                  <from>
                    <xdr:col>0</xdr:col>
                    <xdr:colOff>0</xdr:colOff>
                    <xdr:row>7</xdr:row>
                    <xdr:rowOff>228600</xdr:rowOff>
                  </from>
                  <to>
                    <xdr:col>6</xdr:col>
                    <xdr:colOff>0</xdr:colOff>
                    <xdr:row>8</xdr:row>
                    <xdr:rowOff>752475</xdr:rowOff>
                  </to>
                </anchor>
              </controlPr>
            </control>
          </mc:Choice>
        </mc:AlternateContent>
        <mc:AlternateContent xmlns:mc="http://schemas.openxmlformats.org/markup-compatibility/2006">
          <mc:Choice Requires="x14">
            <control shapeId="8201" r:id="rId7" name="List Box 9">
              <controlPr defaultSize="0" autoLine="0" autoPict="0">
                <anchor moveWithCells="1">
                  <from>
                    <xdr:col>0</xdr:col>
                    <xdr:colOff>0</xdr:colOff>
                    <xdr:row>10</xdr:row>
                    <xdr:rowOff>0</xdr:rowOff>
                  </from>
                  <to>
                    <xdr:col>6</xdr:col>
                    <xdr:colOff>0</xdr:colOff>
                    <xdr:row>10</xdr:row>
                    <xdr:rowOff>685800</xdr:rowOff>
                  </to>
                </anchor>
              </controlPr>
            </control>
          </mc:Choice>
        </mc:AlternateContent>
        <mc:AlternateContent xmlns:mc="http://schemas.openxmlformats.org/markup-compatibility/2006">
          <mc:Choice Requires="x14">
            <control shapeId="8203" r:id="rId8" name="List Box 11">
              <controlPr defaultSize="0" autoLine="0" autoPict="0">
                <anchor moveWithCells="1">
                  <from>
                    <xdr:col>0</xdr:col>
                    <xdr:colOff>0</xdr:colOff>
                    <xdr:row>11</xdr:row>
                    <xdr:rowOff>228600</xdr:rowOff>
                  </from>
                  <to>
                    <xdr:col>6</xdr:col>
                    <xdr:colOff>0</xdr:colOff>
                    <xdr:row>13</xdr:row>
                    <xdr:rowOff>0</xdr:rowOff>
                  </to>
                </anchor>
              </controlPr>
            </control>
          </mc:Choice>
        </mc:AlternateContent>
        <mc:AlternateContent xmlns:mc="http://schemas.openxmlformats.org/markup-compatibility/2006">
          <mc:Choice Requires="x14">
            <control shapeId="8205" r:id="rId9" name="List Box 13">
              <controlPr defaultSize="0" autoLine="0" autoPict="0">
                <anchor moveWithCells="1">
                  <from>
                    <xdr:col>0</xdr:col>
                    <xdr:colOff>0</xdr:colOff>
                    <xdr:row>13</xdr:row>
                    <xdr:rowOff>228600</xdr:rowOff>
                  </from>
                  <to>
                    <xdr:col>6</xdr:col>
                    <xdr:colOff>0</xdr:colOff>
                    <xdr:row>14</xdr:row>
                    <xdr:rowOff>1266825</xdr:rowOff>
                  </to>
                </anchor>
              </controlPr>
            </control>
          </mc:Choice>
        </mc:AlternateContent>
        <mc:AlternateContent xmlns:mc="http://schemas.openxmlformats.org/markup-compatibility/2006">
          <mc:Choice Requires="x14">
            <control shapeId="8207" r:id="rId10" name="List Box 15">
              <controlPr defaultSize="0" autoLine="0" autoPict="0">
                <anchor moveWithCells="1">
                  <from>
                    <xdr:col>0</xdr:col>
                    <xdr:colOff>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8209" r:id="rId11" name="List Box 17">
              <controlPr defaultSize="0" autoLine="0" autoPict="0">
                <anchor moveWithCells="1">
                  <from>
                    <xdr:col>0</xdr:col>
                    <xdr:colOff>0</xdr:colOff>
                    <xdr:row>17</xdr:row>
                    <xdr:rowOff>228600</xdr:rowOff>
                  </from>
                  <to>
                    <xdr:col>6</xdr:col>
                    <xdr:colOff>0</xdr:colOff>
                    <xdr:row>19</xdr:row>
                    <xdr:rowOff>0</xdr:rowOff>
                  </to>
                </anchor>
              </controlPr>
            </control>
          </mc:Choice>
        </mc:AlternateContent>
        <mc:AlternateContent xmlns:mc="http://schemas.openxmlformats.org/markup-compatibility/2006">
          <mc:Choice Requires="x14">
            <control shapeId="8214" r:id="rId12" name="Check Box 22">
              <controlPr defaultSize="0" autoFill="0" autoLine="0" autoPict="0">
                <anchor moveWithCells="1">
                  <from>
                    <xdr:col>0</xdr:col>
                    <xdr:colOff>19050</xdr:colOff>
                    <xdr:row>21</xdr:row>
                    <xdr:rowOff>9525</xdr:rowOff>
                  </from>
                  <to>
                    <xdr:col>1</xdr:col>
                    <xdr:colOff>47625</xdr:colOff>
                    <xdr:row>21</xdr:row>
                    <xdr:rowOff>228600</xdr:rowOff>
                  </to>
                </anchor>
              </controlPr>
            </control>
          </mc:Choice>
        </mc:AlternateContent>
        <mc:AlternateContent xmlns:mc="http://schemas.openxmlformats.org/markup-compatibility/2006">
          <mc:Choice Requires="x14">
            <control shapeId="8215" r:id="rId13" name="Check Box 23">
              <controlPr defaultSize="0" autoFill="0" autoLine="0" autoPict="0">
                <anchor moveWithCells="1">
                  <from>
                    <xdr:col>0</xdr:col>
                    <xdr:colOff>19050</xdr:colOff>
                    <xdr:row>22</xdr:row>
                    <xdr:rowOff>9525</xdr:rowOff>
                  </from>
                  <to>
                    <xdr:col>1</xdr:col>
                    <xdr:colOff>47625</xdr:colOff>
                    <xdr:row>23</xdr:row>
                    <xdr:rowOff>19050</xdr:rowOff>
                  </to>
                </anchor>
              </controlPr>
            </control>
          </mc:Choice>
        </mc:AlternateContent>
        <mc:AlternateContent xmlns:mc="http://schemas.openxmlformats.org/markup-compatibility/2006">
          <mc:Choice Requires="x14">
            <control shapeId="8216" r:id="rId14" name="Check Box 24">
              <controlPr defaultSize="0" autoFill="0" autoLine="0" autoPict="0">
                <anchor moveWithCells="1">
                  <from>
                    <xdr:col>0</xdr:col>
                    <xdr:colOff>19050</xdr:colOff>
                    <xdr:row>23</xdr:row>
                    <xdr:rowOff>9525</xdr:rowOff>
                  </from>
                  <to>
                    <xdr:col>1</xdr:col>
                    <xdr:colOff>47625</xdr:colOff>
                    <xdr:row>23</xdr:row>
                    <xdr:rowOff>247650</xdr:rowOff>
                  </to>
                </anchor>
              </controlPr>
            </control>
          </mc:Choice>
        </mc:AlternateContent>
        <mc:AlternateContent xmlns:mc="http://schemas.openxmlformats.org/markup-compatibility/2006">
          <mc:Choice Requires="x14">
            <control shapeId="8218" r:id="rId15" name="List Box 26">
              <controlPr defaultSize="0" autoLine="0" autoPict="0">
                <anchor moveWithCells="1">
                  <from>
                    <xdr:col>0</xdr:col>
                    <xdr:colOff>0</xdr:colOff>
                    <xdr:row>26</xdr:row>
                    <xdr:rowOff>0</xdr:rowOff>
                  </from>
                  <to>
                    <xdr:col>5</xdr:col>
                    <xdr:colOff>514350</xdr:colOff>
                    <xdr:row>27</xdr:row>
                    <xdr:rowOff>0</xdr:rowOff>
                  </to>
                </anchor>
              </controlPr>
            </control>
          </mc:Choice>
        </mc:AlternateContent>
        <mc:AlternateContent xmlns:mc="http://schemas.openxmlformats.org/markup-compatibility/2006">
          <mc:Choice Requires="x14">
            <control shapeId="8219" r:id="rId16" name="List Box 27">
              <controlPr defaultSize="0" autoLine="0" autoPict="0">
                <anchor moveWithCells="1">
                  <from>
                    <xdr:col>0</xdr:col>
                    <xdr:colOff>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8220" r:id="rId17" name="List Box 28">
              <controlPr defaultSize="0" autoLine="0" autoPict="0">
                <anchor moveWithCells="1">
                  <from>
                    <xdr:col>0</xdr:col>
                    <xdr:colOff>0</xdr:colOff>
                    <xdr:row>29</xdr:row>
                    <xdr:rowOff>200025</xdr:rowOff>
                  </from>
                  <to>
                    <xdr:col>6</xdr:col>
                    <xdr:colOff>0</xdr:colOff>
                    <xdr:row>31</xdr:row>
                    <xdr:rowOff>0</xdr:rowOff>
                  </to>
                </anchor>
              </controlPr>
            </control>
          </mc:Choice>
        </mc:AlternateContent>
        <mc:AlternateContent xmlns:mc="http://schemas.openxmlformats.org/markup-compatibility/2006">
          <mc:Choice Requires="x14">
            <control shapeId="8221" r:id="rId18" name="List Box 29">
              <controlPr defaultSize="0" autoLine="0" autoPict="0">
                <anchor moveWithCells="1">
                  <from>
                    <xdr:col>0</xdr:col>
                    <xdr:colOff>0</xdr:colOff>
                    <xdr:row>31</xdr:row>
                    <xdr:rowOff>200025</xdr:rowOff>
                  </from>
                  <to>
                    <xdr:col>6</xdr:col>
                    <xdr:colOff>0</xdr:colOff>
                    <xdr:row>33</xdr:row>
                    <xdr:rowOff>0</xdr:rowOff>
                  </to>
                </anchor>
              </controlPr>
            </control>
          </mc:Choice>
        </mc:AlternateContent>
        <mc:AlternateContent xmlns:mc="http://schemas.openxmlformats.org/markup-compatibility/2006">
          <mc:Choice Requires="x14">
            <control shapeId="8222" r:id="rId19" name="Check Box 30">
              <controlPr defaultSize="0" autoFill="0" autoLine="0" autoPict="0">
                <anchor moveWithCells="1">
                  <from>
                    <xdr:col>0</xdr:col>
                    <xdr:colOff>19050</xdr:colOff>
                    <xdr:row>20</xdr:row>
                    <xdr:rowOff>28575</xdr:rowOff>
                  </from>
                  <to>
                    <xdr:col>1</xdr:col>
                    <xdr:colOff>47625</xdr:colOff>
                    <xdr:row>20</xdr:row>
                    <xdr:rowOff>247650</xdr:rowOff>
                  </to>
                </anchor>
              </controlPr>
            </control>
          </mc:Choice>
        </mc:AlternateContent>
        <mc:AlternateContent xmlns:mc="http://schemas.openxmlformats.org/markup-compatibility/2006">
          <mc:Choice Requires="x14">
            <control shapeId="8223" r:id="rId20" name="Check Box 31">
              <controlPr defaultSize="0" autoFill="0" autoLine="0" autoPict="0">
                <anchor moveWithCells="1">
                  <from>
                    <xdr:col>0</xdr:col>
                    <xdr:colOff>19050</xdr:colOff>
                    <xdr:row>23</xdr:row>
                    <xdr:rowOff>9525</xdr:rowOff>
                  </from>
                  <to>
                    <xdr:col>1</xdr:col>
                    <xdr:colOff>47625</xdr:colOff>
                    <xdr:row>23</xdr:row>
                    <xdr:rowOff>247650</xdr:rowOff>
                  </to>
                </anchor>
              </controlPr>
            </control>
          </mc:Choice>
        </mc:AlternateContent>
        <mc:AlternateContent xmlns:mc="http://schemas.openxmlformats.org/markup-compatibility/2006">
          <mc:Choice Requires="x14">
            <control shapeId="8224" r:id="rId21" name="Check Box 32">
              <controlPr defaultSize="0" autoFill="0" autoLine="0" autoPict="0">
                <anchor moveWithCells="1">
                  <from>
                    <xdr:col>0</xdr:col>
                    <xdr:colOff>19050</xdr:colOff>
                    <xdr:row>24</xdr:row>
                    <xdr:rowOff>9525</xdr:rowOff>
                  </from>
                  <to>
                    <xdr:col>1</xdr:col>
                    <xdr:colOff>47625</xdr:colOff>
                    <xdr:row>24</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172276D2-34AB-40FB-B113-68E279D03331}">
            <xm:f>IF(Database!$J$98,FALSE,TRUE)</xm:f>
            <x14:dxf>
              <font>
                <strike/>
              </font>
            </x14:dxf>
          </x14:cfRule>
          <xm:sqref>B21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E40"/>
  <sheetViews>
    <sheetView showGridLines="0" showRowColHeaders="0" workbookViewId="0">
      <pane ySplit="1" topLeftCell="A2" activePane="bottomLeft" state="frozen"/>
      <selection pane="bottomLeft" activeCell="D42" sqref="D42"/>
    </sheetView>
  </sheetViews>
  <sheetFormatPr defaultColWidth="9.140625" defaultRowHeight="14.25" x14ac:dyDescent="0.2"/>
  <cols>
    <col min="1" max="1" width="8.5703125" style="2" customWidth="1"/>
    <col min="2" max="2" width="9.140625" style="2"/>
    <col min="3" max="3" width="60.7109375" style="2" customWidth="1"/>
    <col min="4" max="4" width="10.140625" style="2" bestFit="1" customWidth="1"/>
    <col min="5" max="16384" width="9.140625" style="2"/>
  </cols>
  <sheetData>
    <row r="1" spans="1:5" ht="15.75" x14ac:dyDescent="0.25">
      <c r="A1" s="28" t="str">
        <f ca="1">Database!$F$4</f>
        <v>DR603OXXXXXXXXXXXX011020B</v>
      </c>
      <c r="B1" s="29"/>
      <c r="C1" s="29"/>
      <c r="D1" s="23"/>
      <c r="E1" s="35"/>
    </row>
    <row r="2" spans="1:5" ht="15" x14ac:dyDescent="0.25">
      <c r="A2" s="132" t="str">
        <f ca="1">Database!F2</f>
        <v>DR60 Digital Recorder</v>
      </c>
      <c r="E2" s="36"/>
    </row>
    <row r="3" spans="1:5" ht="15" x14ac:dyDescent="0.25">
      <c r="A3" s="26" t="str">
        <f>Database!$B$5</f>
        <v>Slot A - Power Supply</v>
      </c>
      <c r="E3" s="36"/>
    </row>
    <row r="4" spans="1:5" x14ac:dyDescent="0.2">
      <c r="A4" s="74" t="str">
        <f ca="1">Database!$F$5</f>
        <v>100-250 Vdc / 110-240 Vac</v>
      </c>
      <c r="E4" s="36"/>
    </row>
    <row r="5" spans="1:5" ht="15" x14ac:dyDescent="0.25">
      <c r="A5" s="26" t="str">
        <f>Database!$B$10</f>
        <v>Slot B - Hardware Options</v>
      </c>
      <c r="E5" s="36"/>
    </row>
    <row r="6" spans="1:5" x14ac:dyDescent="0.2">
      <c r="A6" s="27" t="str">
        <f ca="1">Database!$F$10</f>
        <v>Processing unit + two multimode LC-type connector 100BASE-FX Ethernet interfaces</v>
      </c>
      <c r="E6" s="36"/>
    </row>
    <row r="7" spans="1:5" ht="15" x14ac:dyDescent="0.25">
      <c r="A7" s="75" t="str">
        <f>Database!$B$14</f>
        <v>Slot C - Binary I/O</v>
      </c>
      <c r="E7" s="36"/>
    </row>
    <row r="8" spans="1:5" x14ac:dyDescent="0.2">
      <c r="A8" s="27" t="str">
        <f ca="1">Database!$F$14</f>
        <v>Not installed</v>
      </c>
      <c r="E8" s="36"/>
    </row>
    <row r="9" spans="1:5" ht="15" x14ac:dyDescent="0.25">
      <c r="A9" s="26" t="str">
        <f>Database!$B$26</f>
        <v>Slot D - Binary I/O</v>
      </c>
      <c r="E9" s="36"/>
    </row>
    <row r="10" spans="1:5" x14ac:dyDescent="0.2">
      <c r="A10" s="27" t="str">
        <f ca="1">Database!$F$26</f>
        <v>Not installed</v>
      </c>
      <c r="E10" s="36"/>
    </row>
    <row r="11" spans="1:5" ht="15" x14ac:dyDescent="0.25">
      <c r="A11" s="75" t="str">
        <f>Database!$B$38</f>
        <v>Slot E -  Flexible I/O Options</v>
      </c>
      <c r="E11" s="36"/>
    </row>
    <row r="12" spans="1:5" x14ac:dyDescent="0.2">
      <c r="A12" s="74" t="str">
        <f ca="1">Database!$F$38</f>
        <v>Not installed</v>
      </c>
      <c r="E12" s="36"/>
    </row>
    <row r="13" spans="1:5" ht="15" x14ac:dyDescent="0.25">
      <c r="A13" s="75" t="str">
        <f>Database!$B$50</f>
        <v>Slot F - Flexible I/O Options</v>
      </c>
      <c r="E13" s="36"/>
    </row>
    <row r="14" spans="1:5" x14ac:dyDescent="0.2">
      <c r="A14" s="74" t="str">
        <f ca="1">Database!$F$50</f>
        <v>Not installed</v>
      </c>
      <c r="E14" s="36"/>
    </row>
    <row r="15" spans="1:5" ht="15" x14ac:dyDescent="0.25">
      <c r="A15" s="75" t="str">
        <f>Database!$B$62</f>
        <v>Slot G -  Flexible I/O Options</v>
      </c>
      <c r="E15" s="36"/>
    </row>
    <row r="16" spans="1:5" x14ac:dyDescent="0.2">
      <c r="A16" s="74" t="str">
        <f ca="1">Database!$F$62</f>
        <v>Not installed</v>
      </c>
      <c r="E16" s="36"/>
    </row>
    <row r="17" spans="1:5" ht="15" x14ac:dyDescent="0.25">
      <c r="A17" s="75" t="str">
        <f>Database!$B$74</f>
        <v>Slot H -  Flexible I/O Options</v>
      </c>
      <c r="E17" s="36"/>
    </row>
    <row r="18" spans="1:5" x14ac:dyDescent="0.2">
      <c r="A18" s="27" t="str">
        <f ca="1">Database!$F$74</f>
        <v>Not installed</v>
      </c>
      <c r="E18" s="36"/>
    </row>
    <row r="19" spans="1:5" ht="15" x14ac:dyDescent="0.25">
      <c r="A19" s="26" t="str">
        <f>Database!$B$86</f>
        <v>Primary Functions</v>
      </c>
      <c r="E19" s="36"/>
    </row>
    <row r="20" spans="1:5" x14ac:dyDescent="0.2">
      <c r="A20" s="27" t="str">
        <f>Database!$M$87</f>
        <v>---</v>
      </c>
      <c r="E20" s="36"/>
    </row>
    <row r="21" spans="1:5" x14ac:dyDescent="0.2">
      <c r="A21" s="27" t="str">
        <f>Database!$M$88</f>
        <v>---</v>
      </c>
      <c r="E21" s="36"/>
    </row>
    <row r="22" spans="1:5" x14ac:dyDescent="0.2">
      <c r="A22" s="27" t="str">
        <f>Database!$M$89</f>
        <v>---</v>
      </c>
      <c r="E22" s="36"/>
    </row>
    <row r="23" spans="1:5" ht="15" x14ac:dyDescent="0.25">
      <c r="A23" s="26" t="str">
        <f>Database!$B$109</f>
        <v>Secondary Functions</v>
      </c>
      <c r="E23" s="36"/>
    </row>
    <row r="24" spans="1:5" x14ac:dyDescent="0.2">
      <c r="A24" s="27" t="str">
        <f ca="1">Database!$F$109</f>
        <v>Standard Issue</v>
      </c>
      <c r="E24" s="36"/>
    </row>
    <row r="25" spans="1:5" ht="15" x14ac:dyDescent="0.25">
      <c r="A25" s="26" t="str">
        <f>Database!$B$121</f>
        <v>Firmware Version</v>
      </c>
      <c r="E25" s="36"/>
    </row>
    <row r="26" spans="1:5" x14ac:dyDescent="0.2">
      <c r="A26" s="27" t="str">
        <f ca="1">Database!$F$121</f>
        <v>Latest available firmware - 02</v>
      </c>
      <c r="E26" s="36"/>
    </row>
    <row r="27" spans="1:5" ht="15" x14ac:dyDescent="0.25">
      <c r="A27" s="26" t="str">
        <f>Database!$B$133</f>
        <v>Warranty</v>
      </c>
      <c r="E27" s="36"/>
    </row>
    <row r="28" spans="1:5" x14ac:dyDescent="0.2">
      <c r="A28" s="27" t="str">
        <f ca="1">Database!$F$133</f>
        <v>Standard warranty</v>
      </c>
      <c r="E28" s="36"/>
    </row>
    <row r="29" spans="1:5" ht="15" x14ac:dyDescent="0.25">
      <c r="A29" s="26" t="str">
        <f>Database!$B$145</f>
        <v>Hardware Design Suffix</v>
      </c>
      <c r="E29" s="36"/>
    </row>
    <row r="30" spans="1:5" x14ac:dyDescent="0.2">
      <c r="A30" s="27" t="str">
        <f ca="1">Database!$F$145</f>
        <v>Hardware Version B</v>
      </c>
      <c r="E30" s="36"/>
    </row>
    <row r="31" spans="1:5" ht="15" thickBot="1" x14ac:dyDescent="0.25">
      <c r="A31" s="37"/>
      <c r="B31" s="37"/>
      <c r="C31" s="37"/>
      <c r="D31" s="37"/>
      <c r="E31" s="38"/>
    </row>
    <row r="32" spans="1:5" x14ac:dyDescent="0.2">
      <c r="E32" s="36"/>
    </row>
    <row r="33" spans="1:5" x14ac:dyDescent="0.2">
      <c r="A33" s="30" t="str">
        <f>HLOOKUP(Language!$C$3,Language!$E$1:$Z564,30,FALSE)</f>
        <v>Issue:</v>
      </c>
      <c r="B33" s="31"/>
      <c r="C33" s="31"/>
      <c r="E33" s="36"/>
    </row>
    <row r="34" spans="1:5" ht="19.5" customHeight="1" x14ac:dyDescent="0.2">
      <c r="A34" s="32"/>
      <c r="B34" s="33" t="s">
        <v>0</v>
      </c>
      <c r="C34" s="34" t="str">
        <f>HLOOKUP(Language!$C$3,Language!$E$1:$Z564,31,FALSE)</f>
        <v>Original Created.</v>
      </c>
      <c r="D34" s="92">
        <v>42753</v>
      </c>
      <c r="E34" s="39"/>
    </row>
    <row r="35" spans="1:5" ht="32.450000000000003" customHeight="1" x14ac:dyDescent="0.2">
      <c r="A35" s="42"/>
      <c r="B35" s="232" t="s">
        <v>217</v>
      </c>
      <c r="C35" s="231" t="str">
        <f>HLOOKUP(Language!$C$3,Language!$E$1:$Z565,73,FALSE)</f>
        <v>Release 2 - PMU C37.118 and Trend Recorder added as option and DNP3 added for all models.</v>
      </c>
      <c r="D35" s="92">
        <f>'Date Drivers'!I2</f>
        <v>43000</v>
      </c>
      <c r="E35" s="39"/>
    </row>
    <row r="36" spans="1:5" ht="29.45" customHeight="1" x14ac:dyDescent="0.2">
      <c r="A36" s="42"/>
      <c r="B36" s="232" t="s">
        <v>236</v>
      </c>
      <c r="C36" s="235" t="str">
        <f>HLOOKUP(Language!$C$3,Language!$E$1:$Z566,77,FALSE)</f>
        <v>Blocking enable PMU function without waveform recorder</v>
      </c>
      <c r="D36" s="92">
        <f>'Date Drivers'!O2</f>
        <v>43580</v>
      </c>
      <c r="E36" s="39"/>
    </row>
    <row r="37" spans="1:5" ht="17.100000000000001" customHeight="1" x14ac:dyDescent="0.2">
      <c r="A37" s="42"/>
      <c r="B37" s="232" t="s">
        <v>256</v>
      </c>
      <c r="C37" s="235" t="str">
        <f>HLOOKUP(Language!$C$3,Language!$E$1:$Z567,81,FALSE)</f>
        <v>Correção para seleção de placas por slot</v>
      </c>
      <c r="D37" s="92">
        <f>'Date Drivers'!T2</f>
        <v>44264</v>
      </c>
      <c r="E37" s="39"/>
    </row>
    <row r="38" spans="1:5" ht="17.100000000000001" customHeight="1" x14ac:dyDescent="0.2">
      <c r="A38" s="42"/>
      <c r="B38" s="232" t="s">
        <v>80</v>
      </c>
      <c r="C38" s="235" t="str">
        <f>HLOOKUP(Language!$C$3,Language!$E$1:$Z568,82,FALSE)</f>
        <v>Added Hardware version B</v>
      </c>
      <c r="D38" s="92">
        <f>'Date Drivers'!T2</f>
        <v>44264</v>
      </c>
      <c r="E38" s="39"/>
    </row>
    <row r="39" spans="1:5" ht="25.5" x14ac:dyDescent="0.2">
      <c r="A39" s="42"/>
      <c r="B39" s="232" t="s">
        <v>264</v>
      </c>
      <c r="C39" s="241" t="str">
        <f>HLOOKUP(Language!$C$3,Language!$E$1:$Z569,83,FALSE)</f>
        <v>Option Hardware A Withdrawn by CID 008163 - 02/07/2024. GE Publication no GER-4938</v>
      </c>
      <c r="D39" s="240">
        <f>'Date Drivers'!AD2</f>
        <v>45329</v>
      </c>
      <c r="E39" s="39"/>
    </row>
    <row r="40" spans="1:5" ht="15" thickBot="1" x14ac:dyDescent="0.25">
      <c r="A40" s="37"/>
      <c r="B40" s="37"/>
      <c r="C40" s="37"/>
      <c r="D40" s="37"/>
      <c r="E40" s="38"/>
    </row>
  </sheetData>
  <phoneticPr fontId="1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155"/>
  <sheetViews>
    <sheetView topLeftCell="A118" workbookViewId="0">
      <selection activeCell="F153" sqref="F153"/>
    </sheetView>
  </sheetViews>
  <sheetFormatPr defaultColWidth="9.140625" defaultRowHeight="12.75" x14ac:dyDescent="0.2"/>
  <cols>
    <col min="1" max="1" width="2.7109375" style="173" customWidth="1"/>
    <col min="2" max="2" width="39.85546875" style="171" bestFit="1" customWidth="1"/>
    <col min="3" max="3" width="4.5703125" style="171" bestFit="1" customWidth="1"/>
    <col min="4" max="4" width="4.140625" style="173" bestFit="1" customWidth="1"/>
    <col min="5" max="5" width="2.7109375" style="173" customWidth="1"/>
    <col min="6" max="6" width="86.85546875" style="171" bestFit="1" customWidth="1"/>
    <col min="7" max="7" width="8" style="173" bestFit="1" customWidth="1"/>
    <col min="8" max="9" width="9.28515625" style="177" bestFit="1" customWidth="1"/>
    <col min="10" max="10" width="7" style="171" bestFit="1" customWidth="1"/>
    <col min="11" max="11" width="14.7109375" style="171" customWidth="1"/>
    <col min="12" max="12" width="16.42578125" style="171" bestFit="1" customWidth="1"/>
    <col min="13" max="13" width="10.42578125" style="171" bestFit="1" customWidth="1"/>
    <col min="14" max="16384" width="9.140625" style="171"/>
  </cols>
  <sheetData>
    <row r="1" spans="1:12" x14ac:dyDescent="0.2">
      <c r="B1" s="174" t="s">
        <v>73</v>
      </c>
      <c r="C1" s="174"/>
      <c r="D1" s="175"/>
      <c r="E1" s="175"/>
      <c r="F1" s="176">
        <v>45329</v>
      </c>
      <c r="H1" s="177" t="s">
        <v>54</v>
      </c>
      <c r="I1" s="177" t="s">
        <v>55</v>
      </c>
      <c r="K1" s="178" t="s">
        <v>58</v>
      </c>
      <c r="L1" s="179" t="str">
        <f>ADDRESS(1,MATCH(F1,'Date Drivers'!2:2,0),1,1,"Date Drivers")</f>
        <v>'Date Drivers'!$AD$1</v>
      </c>
    </row>
    <row r="2" spans="1:12" x14ac:dyDescent="0.2">
      <c r="B2" s="174" t="s">
        <v>75</v>
      </c>
      <c r="C2" s="174"/>
      <c r="D2" s="175"/>
      <c r="E2" s="175"/>
      <c r="F2" s="180" t="str">
        <f ca="1">INDEX(INDIRECT($L$1&amp;":"&amp;$L$2),4,1)</f>
        <v>DR60 Digital Recorder</v>
      </c>
      <c r="H2" s="177">
        <f ca="1">INDEX(INDIRECT($L$1&amp;":"&amp;$L$2),5,3)</f>
        <v>0</v>
      </c>
      <c r="I2" s="177" t="str">
        <f ca="1">INDEX(INDIRECT($L$1&amp;":"&amp;$L$2),5,4)</f>
        <v>Y</v>
      </c>
      <c r="J2" s="173"/>
      <c r="K2" s="178" t="s">
        <v>59</v>
      </c>
      <c r="L2" s="179" t="str">
        <f>ADDRESS(500,MATCH(F1,'Date Drivers'!2:2,0)+4,1,1)</f>
        <v>$AH$500</v>
      </c>
    </row>
    <row r="3" spans="1:12" x14ac:dyDescent="0.2">
      <c r="B3" s="174" t="s">
        <v>72</v>
      </c>
      <c r="C3" s="174"/>
      <c r="D3" s="175"/>
      <c r="E3" s="175"/>
      <c r="F3" s="180" t="str">
        <f ca="1">INDEX(INDIRECT($L$1&amp;":"&amp;$L$2),5,1)</f>
        <v>DR60</v>
      </c>
      <c r="J3" s="173"/>
      <c r="K3" s="181"/>
      <c r="L3" s="163"/>
    </row>
    <row r="4" spans="1:12" x14ac:dyDescent="0.2">
      <c r="B4" s="174" t="s">
        <v>74</v>
      </c>
      <c r="C4" s="174"/>
      <c r="D4" s="175"/>
      <c r="E4" s="182"/>
      <c r="F4" s="183" t="str">
        <f ca="1">F3&amp;G5&amp;G10&amp;G14&amp;G26&amp;G38&amp;G50&amp;G62&amp;G74&amp;G86&amp;G97&amp;G109&amp;G121&amp;G133&amp;G145</f>
        <v>DR603OXXXXXXXXXXXX011020B</v>
      </c>
    </row>
    <row r="5" spans="1:12" x14ac:dyDescent="0.2">
      <c r="A5" s="184">
        <v>1</v>
      </c>
      <c r="B5" s="185" t="str">
        <f>'Date Drivers'!$B$6</f>
        <v>Slot A - Power Supply</v>
      </c>
      <c r="C5" s="185" t="s">
        <v>255</v>
      </c>
      <c r="D5" s="186" t="s">
        <v>62</v>
      </c>
      <c r="E5" s="187">
        <v>1</v>
      </c>
      <c r="F5" s="188" t="str">
        <f ca="1">VLOOKUP($E$5,$E$6:$I$8,2,FALSE)</f>
        <v>100-250 Vdc / 110-240 Vac</v>
      </c>
      <c r="G5" s="188">
        <f ca="1">VLOOKUP($E$5,$E$6:$I$8,3,FALSE)</f>
        <v>3</v>
      </c>
      <c r="H5" s="189">
        <f ca="1">VLOOKUP($E$5,$E$6:$I$8,4,FALSE)</f>
        <v>0</v>
      </c>
      <c r="I5" s="189" t="str">
        <f ca="1">VLOOKUP($E$5,$E$6:$I$8,5,FALSE)</f>
        <v/>
      </c>
    </row>
    <row r="6" spans="1:12" x14ac:dyDescent="0.2">
      <c r="C6" s="190">
        <f>MATCH($A$5,'Date Drivers'!$A:$A,0)</f>
        <v>6</v>
      </c>
      <c r="D6" s="190">
        <f ca="1">IF(G145="A",MATCH(A5,'Date Drivers'!A:A,0),MATCH(A5,'Date Drivers'!A:A,0)+1)</f>
        <v>7</v>
      </c>
      <c r="E6" s="190">
        <v>1</v>
      </c>
      <c r="F6" s="191" t="str">
        <f ca="1">IF(INDEX(INDIRECT($L$1&amp;":"&amp;$L$2),D6,1)=0,"",INDEX(INDIRECT($L$1&amp;":"&amp;$L$2),D6,1))</f>
        <v>100-250 Vdc / 110-240 Vac</v>
      </c>
      <c r="G6" s="192">
        <f ca="1">IF(INDEX(INDIRECT($L$1&amp;":"&amp;$L$2),D6,1)=0,"",INDEX(INDIRECT($L$1&amp;":"&amp;$L$2),D6,2))</f>
        <v>3</v>
      </c>
      <c r="H6" s="193">
        <f ca="1">IF(INDEX(INDIRECT($L$1&amp;":"&amp;$L$2),D6,1)=0,"",INDEX(INDIRECT($L$1&amp;":"&amp;$L$2),D6,3))</f>
        <v>0</v>
      </c>
      <c r="I6" s="193" t="str">
        <f ca="1">IF(INDEX(INDIRECT($L$1&amp;":"&amp;$L$2),D7,1)=0,"",INDEX(INDIRECT($L$1&amp;":"&amp;$L$2),D7,4))</f>
        <v/>
      </c>
    </row>
    <row r="7" spans="1:12" x14ac:dyDescent="0.2">
      <c r="C7" s="194">
        <f t="shared" ref="C7:E8" si="0">C6+1</f>
        <v>7</v>
      </c>
      <c r="D7" s="194">
        <f t="shared" ca="1" si="0"/>
        <v>8</v>
      </c>
      <c r="E7" s="194">
        <f t="shared" si="0"/>
        <v>2</v>
      </c>
      <c r="F7" s="195" t="str">
        <f ca="1">IF(INDEX(INDIRECT($L$1&amp;":"&amp;$L$2),D7,1)=0,"",INDEX(INDIRECT($L$1&amp;":"&amp;$L$2),D7,1))</f>
        <v/>
      </c>
      <c r="G7" s="196" t="str">
        <f ca="1">IF(INDEX(INDIRECT($L$1&amp;":"&amp;$L$2),D7,1)=0,"",INDEX(INDIRECT($L$1&amp;":"&amp;$L$2),D7,2))</f>
        <v/>
      </c>
      <c r="H7" s="197" t="str">
        <f ca="1">IF(INDEX(INDIRECT($L$1&amp;":"&amp;$L$2),D7,1)=0,"",INDEX(INDIRECT($L$1&amp;":"&amp;$L$2),D7,3))</f>
        <v/>
      </c>
      <c r="I7" s="197" t="str">
        <f ca="1">IF(INDEX(INDIRECT($L$1&amp;":"&amp;$L$2),D7,1)=0,"",INDEX(INDIRECT($L$1&amp;":"&amp;$L$2),D7,4))</f>
        <v/>
      </c>
    </row>
    <row r="8" spans="1:12" x14ac:dyDescent="0.2">
      <c r="C8" s="198">
        <f t="shared" si="0"/>
        <v>8</v>
      </c>
      <c r="D8" s="198">
        <f t="shared" ca="1" si="0"/>
        <v>9</v>
      </c>
      <c r="E8" s="198">
        <f t="shared" si="0"/>
        <v>3</v>
      </c>
      <c r="F8" s="199" t="str">
        <f ca="1">IF(INDEX(INDIRECT($L$1&amp;":"&amp;$L$2),D8,1)=0,"",INDEX(INDIRECT($L$1&amp;":"&amp;$L$2),D8,1))</f>
        <v/>
      </c>
      <c r="G8" s="200" t="str">
        <f ca="1">IF(INDEX(INDIRECT($L$1&amp;":"&amp;$L$2),D8,1)=0,"",INDEX(INDIRECT($L$1&amp;":"&amp;$L$2),D8,2))</f>
        <v/>
      </c>
      <c r="H8" s="201" t="str">
        <f ca="1">IF(INDEX(INDIRECT($L$1&amp;":"&amp;$L$2),D8,1)=0,"",INDEX(INDIRECT($L$1&amp;":"&amp;$L$2),D8,3))</f>
        <v/>
      </c>
      <c r="I8" s="201" t="str">
        <f ca="1">IF(INDEX(INDIRECT($L$1&amp;":"&amp;$L$2),D8,1)=0,"",INDEX(INDIRECT($L$1&amp;":"&amp;$L$2),D8,4))</f>
        <v/>
      </c>
    </row>
    <row r="10" spans="1:12" x14ac:dyDescent="0.2">
      <c r="A10" s="184">
        <v>2</v>
      </c>
      <c r="B10" s="185" t="str">
        <f>'Date Drivers'!$B$11</f>
        <v>Slot B - Hardware Options</v>
      </c>
      <c r="C10" s="185" t="s">
        <v>255</v>
      </c>
      <c r="D10" s="186" t="s">
        <v>62</v>
      </c>
      <c r="E10" s="187">
        <v>2</v>
      </c>
      <c r="F10" s="188" t="str">
        <f ca="1">VLOOKUP($E$10,$E$11:$I$12,2,FALSE)</f>
        <v>Processing unit + two multimode LC-type connector 100BASE-FX Ethernet interfaces</v>
      </c>
      <c r="G10" s="188" t="str">
        <f ca="1">VLOOKUP($E$10,$E$11:$I$12,3,FALSE)</f>
        <v>O</v>
      </c>
      <c r="H10" s="188">
        <f ca="1">VLOOKUP($E$10,$E$11:$I$12,4,FALSE)</f>
        <v>0</v>
      </c>
      <c r="I10" s="188" t="str">
        <f>VLOOKUP($E$10,$E$11:$I$12,5,FALSE)</f>
        <v>Y</v>
      </c>
    </row>
    <row r="11" spans="1:12" x14ac:dyDescent="0.2">
      <c r="C11" s="190">
        <f>MATCH($A$10,'Date Drivers'!$A:$A,0)</f>
        <v>11</v>
      </c>
      <c r="D11" s="190">
        <f>MATCH($A$10,'Date Drivers'!$A:$A,0)</f>
        <v>11</v>
      </c>
      <c r="E11" s="190">
        <v>1</v>
      </c>
      <c r="F11" s="191" t="str">
        <f ca="1">IF(INDEX(INDIRECT($L$1&amp;":"&amp;$L$2),D11,1)=0,"",INDEX(INDIRECT($L$1&amp;":"&amp;$L$2),D11,1))</f>
        <v>Processing unit + two RJ45 copper 10/100BASE-TX Ethernet interfaces</v>
      </c>
      <c r="G11" s="192" t="str">
        <f ca="1">IF(INDEX(INDIRECT($L$1&amp;":"&amp;$L$2),D11,1)=0,"",INDEX(INDIRECT($L$1&amp;":"&amp;$L$2),D11,2))</f>
        <v>E</v>
      </c>
      <c r="H11" s="193">
        <f t="shared" ref="H11:H12" ca="1" si="1">IF(INDEX(INDIRECT($L$1&amp;":"&amp;$L$2),D11,1)=0,"",INDEX(INDIRECT($L$1&amp;":"&amp;$L$2),D11,3))</f>
        <v>0</v>
      </c>
      <c r="I11" s="193" t="str">
        <f ca="1">IF(INDEX(INDIRECT($L$1&amp;":"&amp;$L$2),D11,1)=0,"",INDEX(INDIRECT($L$1&amp;":"&amp;$L$2),D11,4))</f>
        <v>Y</v>
      </c>
    </row>
    <row r="12" spans="1:12" x14ac:dyDescent="0.2">
      <c r="C12" s="198">
        <f>C11+1</f>
        <v>12</v>
      </c>
      <c r="D12" s="198">
        <f>D11+1</f>
        <v>12</v>
      </c>
      <c r="E12" s="198">
        <f>E11+1</f>
        <v>2</v>
      </c>
      <c r="F12" s="199" t="str">
        <f ca="1">IF(INDEX(INDIRECT($L$1&amp;":"&amp;$L$2),D12,1)=0,"",INDEX(INDIRECT($L$1&amp;":"&amp;$L$2),D12,1))</f>
        <v>Processing unit + two multimode LC-type connector 100BASE-FX Ethernet interfaces</v>
      </c>
      <c r="G12" s="200" t="str">
        <f ca="1">IF(INDEX(INDIRECT($L$1&amp;":"&amp;$L$2),D12,1)=0,"",INDEX(INDIRECT($L$1&amp;":"&amp;$L$2),D12,2))</f>
        <v>O</v>
      </c>
      <c r="H12" s="201">
        <f t="shared" ca="1" si="1"/>
        <v>0</v>
      </c>
      <c r="I12" s="201" t="s">
        <v>56</v>
      </c>
    </row>
    <row r="14" spans="1:12" x14ac:dyDescent="0.2">
      <c r="A14" s="184">
        <v>3</v>
      </c>
      <c r="B14" s="185" t="str">
        <f>'Date Drivers'!$B$13</f>
        <v>Slot C - Binary I/O</v>
      </c>
      <c r="C14" s="185" t="s">
        <v>255</v>
      </c>
      <c r="D14" s="186" t="s">
        <v>62</v>
      </c>
      <c r="E14" s="187">
        <v>3</v>
      </c>
      <c r="F14" s="188" t="str">
        <f ca="1">VLOOKUP($E$14,$E$15:$I$24,2,FALSE)</f>
        <v>Not installed</v>
      </c>
      <c r="G14" s="188" t="str">
        <f ca="1">VLOOKUP($E$14,$E$15:$I$24,3,FALSE)</f>
        <v>XX</v>
      </c>
      <c r="H14" s="203">
        <f ca="1">VLOOKUP($E$14,$E$15:$I$24,4,FALSE)</f>
        <v>0</v>
      </c>
      <c r="I14" s="203" t="str">
        <f ca="1">VLOOKUP($E$14,$E$15:$I$24,5,FALSE)</f>
        <v/>
      </c>
    </row>
    <row r="15" spans="1:12" x14ac:dyDescent="0.2">
      <c r="C15" s="190">
        <f>MATCH($A$14,'Date Drivers'!$A:$A,0)</f>
        <v>13</v>
      </c>
      <c r="D15" s="190">
        <f ca="1">IF(G145="A",MATCH(A14,'Date Drivers'!A:A,0),MATCH(A14,'Date Drivers'!A:A,0)+2)</f>
        <v>15</v>
      </c>
      <c r="E15" s="204">
        <v>1</v>
      </c>
      <c r="F15" s="191" t="str">
        <f ca="1">IF(INDEX(INDIRECT($L$1&amp;":"&amp;$L$2),D15+2,1)=0,"",INDEX(INDIRECT($L$1&amp;":"&amp;$L$2),D15,1))</f>
        <v>16 x 24/48/125/250 V binary inputs</v>
      </c>
      <c r="G15" s="196" t="str">
        <f ca="1">IF(INDEX(INDIRECT($L$1&amp;":"&amp;$L$2),D15,1)=0,"",INDEX(INDIRECT($L$1&amp;":"&amp;$L$2),D15,2))</f>
        <v>B3</v>
      </c>
      <c r="H15" s="193">
        <f t="shared" ref="H15:H24" ca="1" si="2">IF(INDEX(INDIRECT($L$1&amp;":"&amp;$L$2),D15,1)=0,"",INDEX(INDIRECT($L$1&amp;":"&amp;$L$2),D15,3))</f>
        <v>0</v>
      </c>
      <c r="I15" s="193" t="str">
        <f ca="1">IF(INDEX(INDIRECT($L$1&amp;":"&amp;$L$2),D7,1)=0,"",INDEX(INDIRECT($L$1&amp;":"&amp;$L$2),D7,4))</f>
        <v/>
      </c>
      <c r="K15" s="213"/>
    </row>
    <row r="16" spans="1:12" x14ac:dyDescent="0.2">
      <c r="C16" s="194">
        <f t="shared" ref="C16:E24" si="3">C15+1</f>
        <v>14</v>
      </c>
      <c r="D16" s="194">
        <f t="shared" ca="1" si="3"/>
        <v>16</v>
      </c>
      <c r="E16" s="205">
        <f t="shared" si="3"/>
        <v>2</v>
      </c>
      <c r="F16" s="195" t="str">
        <f t="shared" ref="F16:F24" ca="1" si="4">IF(INDEX(INDIRECT($L$1&amp;":"&amp;$L$2),D16,1)=0,"",INDEX(INDIRECT($L$1&amp;":"&amp;$L$2),D16,1))</f>
        <v>6 x  24/48/125/250 V binary inputs and 8 x Form-A binary outputs</v>
      </c>
      <c r="G16" s="196" t="str">
        <f t="shared" ref="G16:G24" ca="1" si="5">IF(INDEX(INDIRECT($L$1&amp;":"&amp;$L$2),D16,1)=0,"",INDEX(INDIRECT($L$1&amp;":"&amp;$L$2),D16,2))</f>
        <v>B4</v>
      </c>
      <c r="H16" s="197">
        <f t="shared" ca="1" si="2"/>
        <v>0</v>
      </c>
      <c r="I16" s="197" t="str">
        <f ca="1">IF(INDEX(INDIRECT($L$1&amp;":"&amp;$L$2),D7,1)=0,"",INDEX(INDIRECT($L$1&amp;":"&amp;$L$2),D7,4))</f>
        <v/>
      </c>
      <c r="K16" s="213"/>
    </row>
    <row r="17" spans="1:11" x14ac:dyDescent="0.2">
      <c r="C17" s="194">
        <f t="shared" ref="C17" si="6">C16+1</f>
        <v>15</v>
      </c>
      <c r="D17" s="194">
        <f>MATCH(A14,'Date Drivers'!A:A,0)+4</f>
        <v>17</v>
      </c>
      <c r="E17" s="205">
        <f t="shared" si="3"/>
        <v>3</v>
      </c>
      <c r="F17" s="195" t="str">
        <f t="shared" ca="1" si="4"/>
        <v>Not installed</v>
      </c>
      <c r="G17" s="196" t="str">
        <f t="shared" ca="1" si="5"/>
        <v>XX</v>
      </c>
      <c r="H17" s="197">
        <f t="shared" ca="1" si="2"/>
        <v>0</v>
      </c>
      <c r="I17" s="197" t="str">
        <f ca="1">IF(INDEX(INDIRECT($L$1&amp;":"&amp;$L$2),D7,1)=0,"",INDEX(INDIRECT($L$1&amp;":"&amp;$L$2),D7,4))</f>
        <v/>
      </c>
      <c r="K17" s="213"/>
    </row>
    <row r="18" spans="1:11" x14ac:dyDescent="0.2">
      <c r="C18" s="194">
        <f t="shared" ref="C18" si="7">C17+1</f>
        <v>16</v>
      </c>
      <c r="D18" s="194">
        <f t="shared" si="3"/>
        <v>18</v>
      </c>
      <c r="E18" s="205">
        <f t="shared" si="3"/>
        <v>4</v>
      </c>
      <c r="F18" s="195" t="str">
        <f t="shared" ca="1" si="4"/>
        <v/>
      </c>
      <c r="G18" s="196" t="str">
        <f t="shared" ca="1" si="5"/>
        <v/>
      </c>
      <c r="H18" s="197" t="str">
        <f t="shared" ca="1" si="2"/>
        <v/>
      </c>
      <c r="I18" s="197" t="str">
        <f ca="1">IF(INDEX(INDIRECT($L$1&amp;":"&amp;$L$2),D7,1)=0,"",INDEX(INDIRECT($L$1&amp;":"&amp;$L$2),D7,4))</f>
        <v/>
      </c>
      <c r="K18" s="213"/>
    </row>
    <row r="19" spans="1:11" x14ac:dyDescent="0.2">
      <c r="C19" s="194">
        <f t="shared" ref="C19" si="8">C18+1</f>
        <v>17</v>
      </c>
      <c r="D19" s="194">
        <f t="shared" si="3"/>
        <v>19</v>
      </c>
      <c r="E19" s="205">
        <f t="shared" si="3"/>
        <v>5</v>
      </c>
      <c r="F19" s="195" t="str">
        <f t="shared" ca="1" si="4"/>
        <v/>
      </c>
      <c r="G19" s="196" t="str">
        <f t="shared" ca="1" si="5"/>
        <v/>
      </c>
      <c r="H19" s="197" t="str">
        <f t="shared" ca="1" si="2"/>
        <v/>
      </c>
      <c r="I19" s="197" t="str">
        <f ca="1">IF(INDEX(INDIRECT($L$1&amp;":"&amp;$L$2),D7,1)=0,"",INDEX(INDIRECT($L$1&amp;":"&amp;$L$2),D7,4))</f>
        <v/>
      </c>
      <c r="K19" s="213"/>
    </row>
    <row r="20" spans="1:11" x14ac:dyDescent="0.2">
      <c r="C20" s="194">
        <f t="shared" ref="C20" si="9">C19+1</f>
        <v>18</v>
      </c>
      <c r="D20" s="194">
        <f t="shared" si="3"/>
        <v>20</v>
      </c>
      <c r="E20" s="205">
        <f t="shared" si="3"/>
        <v>6</v>
      </c>
      <c r="F20" s="195" t="str">
        <f t="shared" ca="1" si="4"/>
        <v/>
      </c>
      <c r="G20" s="196" t="str">
        <f t="shared" ca="1" si="5"/>
        <v/>
      </c>
      <c r="H20" s="197" t="str">
        <f t="shared" ca="1" si="2"/>
        <v/>
      </c>
      <c r="I20" s="197"/>
      <c r="K20" s="213"/>
    </row>
    <row r="21" spans="1:11" x14ac:dyDescent="0.2">
      <c r="C21" s="194">
        <f t="shared" ref="C21" si="10">C20+1</f>
        <v>19</v>
      </c>
      <c r="D21" s="194">
        <f t="shared" si="3"/>
        <v>21</v>
      </c>
      <c r="E21" s="205">
        <f t="shared" si="3"/>
        <v>7</v>
      </c>
      <c r="F21" s="195" t="str">
        <f t="shared" ca="1" si="4"/>
        <v/>
      </c>
      <c r="G21" s="196" t="str">
        <f t="shared" ca="1" si="5"/>
        <v/>
      </c>
      <c r="H21" s="197" t="str">
        <f t="shared" ca="1" si="2"/>
        <v/>
      </c>
      <c r="I21" s="197"/>
      <c r="K21" s="213"/>
    </row>
    <row r="22" spans="1:11" x14ac:dyDescent="0.2">
      <c r="C22" s="194">
        <f t="shared" ref="C22" si="11">C21+1</f>
        <v>20</v>
      </c>
      <c r="D22" s="194">
        <f t="shared" si="3"/>
        <v>22</v>
      </c>
      <c r="E22" s="205">
        <f t="shared" si="3"/>
        <v>8</v>
      </c>
      <c r="F22" s="195" t="str">
        <f t="shared" ca="1" si="4"/>
        <v/>
      </c>
      <c r="G22" s="196" t="str">
        <f t="shared" ca="1" si="5"/>
        <v/>
      </c>
      <c r="H22" s="197" t="str">
        <f t="shared" ca="1" si="2"/>
        <v/>
      </c>
      <c r="I22" s="197" t="str">
        <f t="shared" ref="I22:I24" ca="1" si="12">IF(INDEX(INDIRECT($L$1&amp;":"&amp;$L$2),D22,1)=0,"",INDEX(INDIRECT($L$1&amp;":"&amp;$L$2),D22,4))</f>
        <v/>
      </c>
      <c r="K22" s="213"/>
    </row>
    <row r="23" spans="1:11" x14ac:dyDescent="0.2">
      <c r="C23" s="194">
        <f t="shared" ref="C23" si="13">C22+1</f>
        <v>21</v>
      </c>
      <c r="D23" s="194">
        <f t="shared" si="3"/>
        <v>23</v>
      </c>
      <c r="E23" s="205">
        <f t="shared" si="3"/>
        <v>9</v>
      </c>
      <c r="F23" s="195" t="str">
        <f t="shared" ca="1" si="4"/>
        <v/>
      </c>
      <c r="G23" s="196" t="str">
        <f t="shared" ca="1" si="5"/>
        <v/>
      </c>
      <c r="H23" s="197" t="str">
        <f t="shared" ca="1" si="2"/>
        <v/>
      </c>
      <c r="I23" s="197" t="str">
        <f t="shared" ca="1" si="12"/>
        <v/>
      </c>
      <c r="K23" s="213"/>
    </row>
    <row r="24" spans="1:11" x14ac:dyDescent="0.2">
      <c r="C24" s="198">
        <f t="shared" si="3"/>
        <v>22</v>
      </c>
      <c r="D24" s="198">
        <f t="shared" si="3"/>
        <v>24</v>
      </c>
      <c r="E24" s="206">
        <f t="shared" si="3"/>
        <v>10</v>
      </c>
      <c r="F24" s="199" t="str">
        <f t="shared" ca="1" si="4"/>
        <v/>
      </c>
      <c r="G24" s="198" t="str">
        <f t="shared" ca="1" si="5"/>
        <v/>
      </c>
      <c r="H24" s="201" t="str">
        <f t="shared" ca="1" si="2"/>
        <v/>
      </c>
      <c r="I24" s="201" t="str">
        <f t="shared" ca="1" si="12"/>
        <v/>
      </c>
      <c r="J24" s="217"/>
      <c r="K24" s="218"/>
    </row>
    <row r="26" spans="1:11" x14ac:dyDescent="0.2">
      <c r="A26" s="184">
        <v>4</v>
      </c>
      <c r="B26" s="185" t="str">
        <f>'Date Drivers'!$B$25</f>
        <v>Slot D - Binary I/O</v>
      </c>
      <c r="C26" s="185" t="s">
        <v>255</v>
      </c>
      <c r="D26" s="186"/>
      <c r="E26" s="207">
        <v>3</v>
      </c>
      <c r="F26" s="202" t="str">
        <f ca="1">VLOOKUP($E$26,$E$27:$I$36,2,FALSE)</f>
        <v>Not installed</v>
      </c>
      <c r="G26" s="188" t="str">
        <f ca="1">VLOOKUP($E$26,$E$27:$I$36,3,FALSE)</f>
        <v>XX</v>
      </c>
      <c r="H26" s="189">
        <f ca="1">VLOOKUP($E$26,$E$27:$I$36,4,FALSE)</f>
        <v>0</v>
      </c>
      <c r="I26" s="189" t="str">
        <f ca="1">VLOOKUP($E$26,$E$27:$I$36,5,FALSE)</f>
        <v/>
      </c>
    </row>
    <row r="27" spans="1:11" x14ac:dyDescent="0.2">
      <c r="C27" s="190">
        <f>MATCH(A26,'Date Drivers'!$A:$A,0)</f>
        <v>25</v>
      </c>
      <c r="D27" s="190">
        <f ca="1">IF(G145="A",MATCH(A26,'Date Drivers'!A:A,0),MATCH(A26,'Date Drivers'!A:A,0)+2)</f>
        <v>27</v>
      </c>
      <c r="E27" s="204">
        <v>1</v>
      </c>
      <c r="F27" s="191" t="str">
        <f t="shared" ref="F27:F36" ca="1" si="14">IF(INDEX(INDIRECT($L$1&amp;":"&amp;$L$2),D27,1)=0,"",INDEX(INDIRECT($L$1&amp;":"&amp;$L$2),D27,1))</f>
        <v>16 x 24/48/125/250 V binary inputs</v>
      </c>
      <c r="G27" s="196" t="str">
        <f t="shared" ref="G27:G36" ca="1" si="15">IF(INDEX(INDIRECT($L$1&amp;":"&amp;$L$2),D27,1)=0,"",INDEX(INDIRECT($L$1&amp;":"&amp;$L$2),D27,2))</f>
        <v>B3</v>
      </c>
      <c r="H27" s="193">
        <f t="shared" ref="H27:H36" ca="1" si="16">IF(INDEX(INDIRECT($L$1&amp;":"&amp;$L$2),D27,1)=0,"",INDEX(INDIRECT($L$1&amp;":"&amp;$L$2),D27,3))</f>
        <v>0</v>
      </c>
      <c r="I27" s="193" t="str">
        <f ca="1">IF(INDEX(INDIRECT($L$1&amp;":"&amp;$L$2),D7,1)=0,"",INDEX(INDIRECT($L$1&amp;":"&amp;$L$2),D7,4))</f>
        <v/>
      </c>
      <c r="K27" s="213"/>
    </row>
    <row r="28" spans="1:11" x14ac:dyDescent="0.2">
      <c r="C28" s="194">
        <f t="shared" ref="C28:C35" si="17">C27+1</f>
        <v>26</v>
      </c>
      <c r="D28" s="194">
        <f t="shared" ref="D28:E36" ca="1" si="18">D27+1</f>
        <v>28</v>
      </c>
      <c r="E28" s="205">
        <f t="shared" si="18"/>
        <v>2</v>
      </c>
      <c r="F28" s="195" t="str">
        <f t="shared" ca="1" si="14"/>
        <v>6 x  24/48/125/250 V binary inputs and 8 x Form-A binary outputs</v>
      </c>
      <c r="G28" s="196" t="str">
        <f t="shared" ca="1" si="15"/>
        <v>B4</v>
      </c>
      <c r="H28" s="197">
        <f t="shared" ca="1" si="16"/>
        <v>0</v>
      </c>
      <c r="I28" s="197" t="str">
        <f ca="1">IF(INDEX(INDIRECT($L$1&amp;":"&amp;$L$2),D7,1)=0,"",INDEX(INDIRECT($L$1&amp;":"&amp;$L$2),D7,4))</f>
        <v/>
      </c>
      <c r="K28" s="213"/>
    </row>
    <row r="29" spans="1:11" x14ac:dyDescent="0.2">
      <c r="C29" s="194">
        <f t="shared" si="17"/>
        <v>27</v>
      </c>
      <c r="D29" s="194">
        <f>MATCH(A26,'Date Drivers'!A:A,0)+4</f>
        <v>29</v>
      </c>
      <c r="E29" s="205">
        <f t="shared" si="18"/>
        <v>3</v>
      </c>
      <c r="F29" s="195" t="str">
        <f t="shared" ca="1" si="14"/>
        <v>Not installed</v>
      </c>
      <c r="G29" s="196" t="str">
        <f t="shared" ca="1" si="15"/>
        <v>XX</v>
      </c>
      <c r="H29" s="197">
        <f t="shared" ca="1" si="16"/>
        <v>0</v>
      </c>
      <c r="I29" s="197" t="str">
        <f ca="1">IF(INDEX(INDIRECT($L$1&amp;":"&amp;$L$2),D7,1)=0,"",INDEX(INDIRECT($L$1&amp;":"&amp;$L$2),D7,4))</f>
        <v/>
      </c>
      <c r="K29" s="213"/>
    </row>
    <row r="30" spans="1:11" x14ac:dyDescent="0.2">
      <c r="C30" s="194">
        <f t="shared" si="17"/>
        <v>28</v>
      </c>
      <c r="D30" s="194">
        <f t="shared" si="18"/>
        <v>30</v>
      </c>
      <c r="E30" s="205">
        <f t="shared" si="18"/>
        <v>4</v>
      </c>
      <c r="F30" s="195" t="str">
        <f t="shared" ca="1" si="14"/>
        <v/>
      </c>
      <c r="G30" s="196" t="str">
        <f t="shared" ca="1" si="15"/>
        <v/>
      </c>
      <c r="H30" s="197" t="str">
        <f t="shared" ca="1" si="16"/>
        <v/>
      </c>
      <c r="I30" s="197" t="str">
        <f ca="1">IF(INDEX(INDIRECT($L$1&amp;":"&amp;$L$2),D7,1)=0,"",INDEX(INDIRECT($L$1&amp;":"&amp;$L$2),D7,4))</f>
        <v/>
      </c>
      <c r="K30" s="213"/>
    </row>
    <row r="31" spans="1:11" x14ac:dyDescent="0.2">
      <c r="C31" s="194">
        <f t="shared" si="17"/>
        <v>29</v>
      </c>
      <c r="D31" s="194">
        <f t="shared" si="18"/>
        <v>31</v>
      </c>
      <c r="E31" s="205">
        <f t="shared" si="18"/>
        <v>5</v>
      </c>
      <c r="F31" s="195" t="str">
        <f t="shared" ca="1" si="14"/>
        <v/>
      </c>
      <c r="G31" s="196" t="str">
        <f t="shared" ca="1" si="15"/>
        <v/>
      </c>
      <c r="H31" s="197" t="str">
        <f t="shared" ca="1" si="16"/>
        <v/>
      </c>
      <c r="I31" s="197" t="str">
        <f ca="1">IF(INDEX(INDIRECT($L$1&amp;":"&amp;$L$2),D7,1)=0,"",INDEX(INDIRECT($L$1&amp;":"&amp;$L$2),D7,4))</f>
        <v/>
      </c>
      <c r="K31" s="213"/>
    </row>
    <row r="32" spans="1:11" x14ac:dyDescent="0.2">
      <c r="C32" s="194">
        <f t="shared" si="17"/>
        <v>30</v>
      </c>
      <c r="D32" s="194">
        <f t="shared" si="18"/>
        <v>32</v>
      </c>
      <c r="E32" s="205">
        <f t="shared" si="18"/>
        <v>6</v>
      </c>
      <c r="F32" s="195" t="str">
        <f t="shared" ca="1" si="14"/>
        <v/>
      </c>
      <c r="G32" s="196" t="str">
        <f t="shared" ca="1" si="15"/>
        <v/>
      </c>
      <c r="H32" s="197" t="str">
        <f t="shared" ca="1" si="16"/>
        <v/>
      </c>
      <c r="I32" s="197"/>
      <c r="K32" s="213"/>
    </row>
    <row r="33" spans="1:11" x14ac:dyDescent="0.2">
      <c r="C33" s="194">
        <f t="shared" si="17"/>
        <v>31</v>
      </c>
      <c r="D33" s="194">
        <f t="shared" si="18"/>
        <v>33</v>
      </c>
      <c r="E33" s="205">
        <f t="shared" si="18"/>
        <v>7</v>
      </c>
      <c r="F33" s="195" t="str">
        <f t="shared" ca="1" si="14"/>
        <v/>
      </c>
      <c r="G33" s="196" t="str">
        <f t="shared" ca="1" si="15"/>
        <v/>
      </c>
      <c r="H33" s="197" t="str">
        <f t="shared" ca="1" si="16"/>
        <v/>
      </c>
      <c r="I33" s="197" t="str">
        <f t="shared" ref="I33:I36" ca="1" si="19">IF(INDEX(INDIRECT($L$1&amp;":"&amp;$L$2),D33,1)=0,"",INDEX(INDIRECT($L$1&amp;":"&amp;$L$2),D33,4))</f>
        <v/>
      </c>
      <c r="K33" s="213"/>
    </row>
    <row r="34" spans="1:11" x14ac:dyDescent="0.2">
      <c r="C34" s="194">
        <f t="shared" si="17"/>
        <v>32</v>
      </c>
      <c r="D34" s="194">
        <f t="shared" si="18"/>
        <v>34</v>
      </c>
      <c r="E34" s="205">
        <f t="shared" si="18"/>
        <v>8</v>
      </c>
      <c r="F34" s="195" t="str">
        <f t="shared" ca="1" si="14"/>
        <v/>
      </c>
      <c r="G34" s="196" t="str">
        <f t="shared" ca="1" si="15"/>
        <v/>
      </c>
      <c r="H34" s="197" t="str">
        <f t="shared" ca="1" si="16"/>
        <v/>
      </c>
      <c r="I34" s="197" t="str">
        <f t="shared" ca="1" si="19"/>
        <v/>
      </c>
      <c r="K34" s="213"/>
    </row>
    <row r="35" spans="1:11" x14ac:dyDescent="0.2">
      <c r="C35" s="194">
        <f t="shared" si="17"/>
        <v>33</v>
      </c>
      <c r="D35" s="194">
        <f t="shared" si="18"/>
        <v>35</v>
      </c>
      <c r="E35" s="205">
        <f t="shared" si="18"/>
        <v>9</v>
      </c>
      <c r="F35" s="195" t="str">
        <f t="shared" ca="1" si="14"/>
        <v/>
      </c>
      <c r="G35" s="196" t="str">
        <f t="shared" ca="1" si="15"/>
        <v/>
      </c>
      <c r="H35" s="197" t="str">
        <f t="shared" ca="1" si="16"/>
        <v/>
      </c>
      <c r="I35" s="197" t="str">
        <f t="shared" ca="1" si="19"/>
        <v/>
      </c>
      <c r="K35" s="213"/>
    </row>
    <row r="36" spans="1:11" x14ac:dyDescent="0.2">
      <c r="C36" s="198">
        <f t="shared" ref="C36" si="20">C35+1</f>
        <v>34</v>
      </c>
      <c r="D36" s="198">
        <f t="shared" si="18"/>
        <v>36</v>
      </c>
      <c r="E36" s="206">
        <f t="shared" si="18"/>
        <v>10</v>
      </c>
      <c r="F36" s="199" t="str">
        <f t="shared" ca="1" si="14"/>
        <v/>
      </c>
      <c r="G36" s="198" t="str">
        <f t="shared" ca="1" si="15"/>
        <v/>
      </c>
      <c r="H36" s="201" t="str">
        <f t="shared" ca="1" si="16"/>
        <v/>
      </c>
      <c r="I36" s="201" t="str">
        <f t="shared" ca="1" si="19"/>
        <v/>
      </c>
      <c r="J36" s="217"/>
      <c r="K36" s="218"/>
    </row>
    <row r="38" spans="1:11" x14ac:dyDescent="0.2">
      <c r="A38" s="184">
        <v>5</v>
      </c>
      <c r="B38" s="185" t="str">
        <f>'Date Drivers'!$B$37</f>
        <v>Slot E -  Flexible I/O Options</v>
      </c>
      <c r="C38" s="185" t="s">
        <v>255</v>
      </c>
      <c r="D38" s="186"/>
      <c r="E38" s="207">
        <v>7</v>
      </c>
      <c r="F38" s="202" t="str">
        <f ca="1">VLOOKUP($E$38,$E$39:$I$48,2,FALSE)</f>
        <v>Not installed</v>
      </c>
      <c r="G38" s="188" t="str">
        <f ca="1">VLOOKUP($E$38,E39:I48,3,FALSE)</f>
        <v>XX</v>
      </c>
      <c r="H38" s="189">
        <f ca="1">VLOOKUP($E$38,E39:I48,4,FALSE)</f>
        <v>0</v>
      </c>
      <c r="I38" s="189" t="str">
        <f ca="1">VLOOKUP($E$38,E39:I48,5,FALSE)</f>
        <v/>
      </c>
    </row>
    <row r="39" spans="1:11" x14ac:dyDescent="0.2">
      <c r="C39" s="190">
        <f>MATCH(A38,'Date Drivers'!$A:$A,0)</f>
        <v>37</v>
      </c>
      <c r="D39" s="190">
        <f ca="1">IF(G145="A",MATCH(A38,'Date Drivers'!A:A,0),MATCH(A38,'Date Drivers'!A:A,0)+2)</f>
        <v>39</v>
      </c>
      <c r="E39" s="204">
        <v>1</v>
      </c>
      <c r="F39" s="191" t="str">
        <f t="shared" ref="F39:F48" ca="1" si="21">IF(INDEX(INDIRECT($L$1&amp;":"&amp;$L$2),D39,1)=0,"",INDEX(INDIRECT($L$1&amp;":"&amp;$L$2),D39,1))</f>
        <v>16 x 24/48/125/250 V binary inputs</v>
      </c>
      <c r="G39" s="196" t="str">
        <f t="shared" ref="G39:G48" ca="1" si="22">IF(INDEX(INDIRECT($L$1&amp;":"&amp;$L$2),D39,1)=0,"",INDEX(INDIRECT($L$1&amp;":"&amp;$L$2),D39,2))</f>
        <v>B3</v>
      </c>
      <c r="H39" s="193">
        <f t="shared" ref="H39:H48" ca="1" si="23">IF(INDEX(INDIRECT($L$1&amp;":"&amp;$L$2),D39,1)=0,"",INDEX(INDIRECT($L$1&amp;":"&amp;$L$2),D39,3))</f>
        <v>0</v>
      </c>
      <c r="I39" s="193" t="str">
        <f ca="1">IF(INDEX(INDIRECT($L$1&amp;":"&amp;$L$2),D7,1)=0,"",INDEX(INDIRECT($L$1&amp;":"&amp;$L$2),D7,4))</f>
        <v/>
      </c>
      <c r="K39" s="213"/>
    </row>
    <row r="40" spans="1:11" x14ac:dyDescent="0.2">
      <c r="C40" s="194">
        <f t="shared" ref="C40:C47" si="24">C39+1</f>
        <v>38</v>
      </c>
      <c r="D40" s="194">
        <f t="shared" ref="D40:D48" ca="1" si="25">D39+1</f>
        <v>40</v>
      </c>
      <c r="E40" s="205">
        <f t="shared" ref="E40:E48" si="26">E39+1</f>
        <v>2</v>
      </c>
      <c r="F40" s="195" t="str">
        <f t="shared" ca="1" si="21"/>
        <v>6 x  24/48/125/250 V binary inputs and 8 x Form-A binary outputs</v>
      </c>
      <c r="G40" s="196" t="str">
        <f t="shared" ca="1" si="22"/>
        <v>B4</v>
      </c>
      <c r="H40" s="197">
        <f t="shared" ca="1" si="23"/>
        <v>0</v>
      </c>
      <c r="I40" s="197" t="str">
        <f ca="1">IF(INDEX(INDIRECT($L$1&amp;":"&amp;$L$2),D7,1)=0,"",INDEX(INDIRECT($L$1&amp;":"&amp;$L$2),D7,4))</f>
        <v/>
      </c>
      <c r="K40" s="213"/>
    </row>
    <row r="41" spans="1:11" x14ac:dyDescent="0.2">
      <c r="C41" s="194">
        <f t="shared" si="24"/>
        <v>39</v>
      </c>
      <c r="D41" s="194">
        <f>MATCH(A38,'Date Drivers'!A:A,0)+4</f>
        <v>41</v>
      </c>
      <c r="E41" s="205">
        <f t="shared" si="26"/>
        <v>3</v>
      </c>
      <c r="F41" s="195" t="str">
        <f t="shared" ca="1" si="21"/>
        <v>4 x VT 115 V and 4 CT 1/5 A RMS measurement analog inputs</v>
      </c>
      <c r="G41" s="196" t="str">
        <f t="shared" ca="1" si="22"/>
        <v>ME</v>
      </c>
      <c r="H41" s="197">
        <f t="shared" ca="1" si="23"/>
        <v>0</v>
      </c>
      <c r="I41" s="197" t="str">
        <f ca="1">IF(INDEX(INDIRECT($L$1&amp;":"&amp;$L$2),D7,1)=0,"",INDEX(INDIRECT($L$1&amp;":"&amp;$L$2),D7,4))</f>
        <v/>
      </c>
      <c r="K41" s="213"/>
    </row>
    <row r="42" spans="1:11" x14ac:dyDescent="0.2">
      <c r="C42" s="194">
        <f t="shared" si="24"/>
        <v>40</v>
      </c>
      <c r="D42" s="194">
        <f t="shared" si="25"/>
        <v>42</v>
      </c>
      <c r="E42" s="205">
        <f t="shared" si="26"/>
        <v>4</v>
      </c>
      <c r="F42" s="195" t="str">
        <f t="shared" ca="1" si="21"/>
        <v>4 x VT 115 V and 4 x CT 1 A RMS protection analog inputs</v>
      </c>
      <c r="G42" s="196" t="str">
        <f t="shared" ca="1" si="22"/>
        <v>P1</v>
      </c>
      <c r="H42" s="197">
        <f t="shared" ca="1" si="23"/>
        <v>0</v>
      </c>
      <c r="I42" s="197" t="str">
        <f ca="1">IF(INDEX(INDIRECT($L$1&amp;":"&amp;$L$2),D7,1)=0,"",INDEX(INDIRECT($L$1&amp;":"&amp;$L$2),D7,4))</f>
        <v/>
      </c>
      <c r="K42" s="213"/>
    </row>
    <row r="43" spans="1:11" x14ac:dyDescent="0.2">
      <c r="C43" s="194">
        <f t="shared" si="24"/>
        <v>41</v>
      </c>
      <c r="D43" s="194">
        <f t="shared" si="25"/>
        <v>43</v>
      </c>
      <c r="E43" s="205">
        <f t="shared" si="26"/>
        <v>5</v>
      </c>
      <c r="F43" s="195" t="str">
        <f t="shared" ca="1" si="21"/>
        <v>4 x VT 115V and 4 x CT 5 A RMS protection analog inputs</v>
      </c>
      <c r="G43" s="196" t="str">
        <f t="shared" ca="1" si="22"/>
        <v>P5</v>
      </c>
      <c r="H43" s="197">
        <f t="shared" ca="1" si="23"/>
        <v>0</v>
      </c>
      <c r="I43" s="197" t="str">
        <f ca="1">IF(INDEX(INDIRECT($L$1&amp;":"&amp;$L$2),D7,1)=0,"",INDEX(INDIRECT($L$1&amp;":"&amp;$L$2),D7,4))</f>
        <v/>
      </c>
      <c r="K43" s="213"/>
    </row>
    <row r="44" spans="1:11" x14ac:dyDescent="0.2">
      <c r="C44" s="194">
        <f t="shared" si="24"/>
        <v>42</v>
      </c>
      <c r="D44" s="194">
        <f t="shared" si="25"/>
        <v>44</v>
      </c>
      <c r="E44" s="205">
        <f t="shared" si="26"/>
        <v>6</v>
      </c>
      <c r="F44" s="195" t="str">
        <f t="shared" ca="1" si="21"/>
        <v>4 x ±10 Vdc and 4 x 0-20 mAdc transducer inputs</v>
      </c>
      <c r="G44" s="196" t="str">
        <f t="shared" ca="1" si="22"/>
        <v>DC</v>
      </c>
      <c r="H44" s="197">
        <f t="shared" ca="1" si="23"/>
        <v>0</v>
      </c>
      <c r="I44" s="197" t="str">
        <f ca="1">IF(INDEX(INDIRECT($L$1&amp;":"&amp;$L$2),D7,1)=0,"",INDEX(INDIRECT($L$1&amp;":"&amp;$L$2),D7,4))</f>
        <v/>
      </c>
      <c r="K44" s="213"/>
    </row>
    <row r="45" spans="1:11" x14ac:dyDescent="0.2">
      <c r="C45" s="194">
        <f t="shared" si="24"/>
        <v>43</v>
      </c>
      <c r="D45" s="194">
        <f t="shared" si="25"/>
        <v>45</v>
      </c>
      <c r="E45" s="205">
        <f t="shared" si="26"/>
        <v>7</v>
      </c>
      <c r="F45" s="195" t="str">
        <f t="shared" ca="1" si="21"/>
        <v>Not installed</v>
      </c>
      <c r="G45" s="196" t="str">
        <f t="shared" ca="1" si="22"/>
        <v>XX</v>
      </c>
      <c r="H45" s="197">
        <f t="shared" ca="1" si="23"/>
        <v>0</v>
      </c>
      <c r="I45" s="197" t="str">
        <f ca="1">IF(INDEX(INDIRECT($L$1&amp;":"&amp;$L$2),D7,1)=0,"",INDEX(INDIRECT($L$1&amp;":"&amp;$L$2),D7,4))</f>
        <v/>
      </c>
      <c r="K45" s="213"/>
    </row>
    <row r="46" spans="1:11" x14ac:dyDescent="0.2">
      <c r="C46" s="194">
        <f t="shared" si="24"/>
        <v>44</v>
      </c>
      <c r="D46" s="194">
        <f t="shared" si="25"/>
        <v>46</v>
      </c>
      <c r="E46" s="205">
        <f t="shared" si="26"/>
        <v>8</v>
      </c>
      <c r="F46" s="195" t="str">
        <f t="shared" ca="1" si="21"/>
        <v/>
      </c>
      <c r="G46" s="196" t="str">
        <f t="shared" ca="1" si="22"/>
        <v/>
      </c>
      <c r="H46" s="197" t="str">
        <f t="shared" ca="1" si="23"/>
        <v/>
      </c>
      <c r="I46" s="197" t="str">
        <f ca="1">IF(INDEX(INDIRECT($L$1&amp;":"&amp;$L$2),D7,1)=0,"",INDEX(INDIRECT($L$1&amp;":"&amp;$L$2),D7,4))</f>
        <v/>
      </c>
      <c r="K46" s="213"/>
    </row>
    <row r="47" spans="1:11" x14ac:dyDescent="0.2">
      <c r="C47" s="194">
        <f t="shared" si="24"/>
        <v>45</v>
      </c>
      <c r="D47" s="194">
        <f t="shared" si="25"/>
        <v>47</v>
      </c>
      <c r="E47" s="205">
        <f t="shared" si="26"/>
        <v>9</v>
      </c>
      <c r="F47" s="195" t="str">
        <f t="shared" ca="1" si="21"/>
        <v/>
      </c>
      <c r="G47" s="196" t="str">
        <f t="shared" ca="1" si="22"/>
        <v/>
      </c>
      <c r="H47" s="197" t="str">
        <f t="shared" ca="1" si="23"/>
        <v/>
      </c>
      <c r="I47" s="197" t="str">
        <f ca="1">IF(INDEX(INDIRECT($L$1&amp;":"&amp;$L$2),D7,1)=0,"",INDEX(INDIRECT($L$1&amp;":"&amp;$L$2),D7,4))</f>
        <v/>
      </c>
      <c r="K47" s="213"/>
    </row>
    <row r="48" spans="1:11" x14ac:dyDescent="0.2">
      <c r="C48" s="198">
        <f t="shared" ref="C48" si="27">C47+1</f>
        <v>46</v>
      </c>
      <c r="D48" s="198">
        <f t="shared" si="25"/>
        <v>48</v>
      </c>
      <c r="E48" s="206">
        <f t="shared" si="26"/>
        <v>10</v>
      </c>
      <c r="F48" s="199" t="str">
        <f t="shared" ca="1" si="21"/>
        <v/>
      </c>
      <c r="G48" s="198" t="str">
        <f t="shared" ca="1" si="22"/>
        <v/>
      </c>
      <c r="H48" s="201" t="str">
        <f t="shared" ca="1" si="23"/>
        <v/>
      </c>
      <c r="I48" s="201" t="str">
        <f t="shared" ref="I48" ca="1" si="28">IF(INDEX(INDIRECT($L$1&amp;":"&amp;$L$2),D48,1)=0,"",INDEX(INDIRECT($L$1&amp;":"&amp;$L$2),D48,4))</f>
        <v/>
      </c>
      <c r="J48" s="217"/>
      <c r="K48" s="218"/>
    </row>
    <row r="50" spans="1:11" x14ac:dyDescent="0.2">
      <c r="A50" s="184">
        <v>6</v>
      </c>
      <c r="B50" s="185" t="str">
        <f>'Date Drivers'!$B$49</f>
        <v>Slot F - Flexible I/O Options</v>
      </c>
      <c r="C50" s="185" t="s">
        <v>255</v>
      </c>
      <c r="D50" s="186"/>
      <c r="E50" s="207">
        <v>7</v>
      </c>
      <c r="F50" s="202" t="str">
        <f ca="1">VLOOKUP($E$50,$E$51:$I$60,2,FALSE)</f>
        <v>Not installed</v>
      </c>
      <c r="G50" s="202" t="str">
        <f ca="1">IF(AND(OR(G38="DC",G38="ME",G38="P5",G38="P1"),E50&lt;3),"XX",VLOOKUP($E$50,E51:I60,3,FALSE))</f>
        <v>XX</v>
      </c>
      <c r="H50" s="203">
        <f ca="1">VLOOKUP($E$50,E51:I60,4,FALSE)</f>
        <v>0</v>
      </c>
      <c r="I50" s="203" t="str">
        <f>VLOOKUP($E$50,E51:I60,5,FALSE)</f>
        <v>Y</v>
      </c>
    </row>
    <row r="51" spans="1:11" x14ac:dyDescent="0.2">
      <c r="C51" s="190">
        <f>MATCH(A50,'Date Drivers'!$A:$A,0)</f>
        <v>49</v>
      </c>
      <c r="D51" s="190">
        <f ca="1">IF(G145="A",MATCH(A50,'Date Drivers'!A:A,0),MATCH(A50,'Date Drivers'!A:A,0)+2)</f>
        <v>51</v>
      </c>
      <c r="E51" s="190">
        <v>1</v>
      </c>
      <c r="F51" s="208" t="str">
        <f t="shared" ref="F51:F60" ca="1" si="29">IF(INDEX(INDIRECT($L$1&amp;":"&amp;$L$2),D51,1)=0,"",INDEX(INDIRECT($L$1&amp;":"&amp;$L$2),D51,1))</f>
        <v>16 x 24/48/125/250 V binary inputs</v>
      </c>
      <c r="G51" s="192" t="str">
        <f t="shared" ref="G51:G60" ca="1" si="30">IF(INDEX(INDIRECT($L$1&amp;":"&amp;$L$2),D51,1)=0,"",INDEX(INDIRECT($L$1&amp;":"&amp;$L$2),D51,2))</f>
        <v>B3</v>
      </c>
      <c r="H51" s="193">
        <f t="shared" ref="H51:H60" ca="1" si="31">IF(INDEX(INDIRECT($L$1&amp;":"&amp;$L$2),D51,1)=0,"",INDEX(INDIRECT($L$1&amp;":"&amp;$L$2),D51,3))</f>
        <v>0</v>
      </c>
      <c r="I51" s="193" t="str">
        <f t="shared" ref="I51:I60" ca="1" si="32">IF(INDEX(INDIRECT($L$1&amp;":"&amp;$L$2),D51,1)=0,"",INDEX(INDIRECT($L$1&amp;":"&amp;$L$2),D51,4))</f>
        <v>Y</v>
      </c>
      <c r="K51" s="213"/>
    </row>
    <row r="52" spans="1:11" x14ac:dyDescent="0.2">
      <c r="C52" s="194">
        <f t="shared" ref="C52:C59" si="33">C51+1</f>
        <v>50</v>
      </c>
      <c r="D52" s="194">
        <f t="shared" ref="D52:D60" ca="1" si="34">D51+1</f>
        <v>52</v>
      </c>
      <c r="E52" s="194">
        <f t="shared" ref="E52:E60" si="35">E51+1</f>
        <v>2</v>
      </c>
      <c r="F52" s="209" t="str">
        <f t="shared" ca="1" si="29"/>
        <v>6 x  24/48/125/250 V binary inputs and 8 x Form-A binary outputs</v>
      </c>
      <c r="G52" s="196" t="str">
        <f t="shared" ca="1" si="30"/>
        <v>B4</v>
      </c>
      <c r="H52" s="197">
        <f t="shared" ca="1" si="31"/>
        <v>0</v>
      </c>
      <c r="I52" s="197" t="str">
        <f t="shared" ca="1" si="32"/>
        <v>Y</v>
      </c>
      <c r="K52" s="213"/>
    </row>
    <row r="53" spans="1:11" x14ac:dyDescent="0.2">
      <c r="C53" s="194">
        <f t="shared" si="33"/>
        <v>51</v>
      </c>
      <c r="D53" s="194">
        <f>MATCH(A50,'Date Drivers'!A:A,0)+4</f>
        <v>53</v>
      </c>
      <c r="E53" s="194">
        <f t="shared" si="35"/>
        <v>3</v>
      </c>
      <c r="F53" s="209" t="str">
        <f t="shared" ca="1" si="29"/>
        <v>4 x VT 115 V and 4 CT 1/5 A RMS measurement analog inputs</v>
      </c>
      <c r="G53" s="196" t="str">
        <f t="shared" ca="1" si="30"/>
        <v>ME</v>
      </c>
      <c r="H53" s="197">
        <f t="shared" ca="1" si="31"/>
        <v>0</v>
      </c>
      <c r="I53" s="197" t="str">
        <f t="shared" ca="1" si="32"/>
        <v>Y</v>
      </c>
      <c r="K53" s="213"/>
    </row>
    <row r="54" spans="1:11" x14ac:dyDescent="0.2">
      <c r="C54" s="194">
        <f t="shared" si="33"/>
        <v>52</v>
      </c>
      <c r="D54" s="194">
        <f t="shared" si="34"/>
        <v>54</v>
      </c>
      <c r="E54" s="194">
        <f t="shared" si="35"/>
        <v>4</v>
      </c>
      <c r="F54" s="209" t="str">
        <f t="shared" ca="1" si="29"/>
        <v>4 x VT 115 V and 4 x CT 1 A RMS protection analog inputs</v>
      </c>
      <c r="G54" s="196" t="str">
        <f t="shared" ca="1" si="30"/>
        <v>P1</v>
      </c>
      <c r="H54" s="197">
        <f t="shared" ca="1" si="31"/>
        <v>0</v>
      </c>
      <c r="I54" s="197" t="str">
        <f t="shared" ca="1" si="32"/>
        <v>Y</v>
      </c>
      <c r="K54" s="213"/>
    </row>
    <row r="55" spans="1:11" x14ac:dyDescent="0.2">
      <c r="C55" s="194">
        <f t="shared" si="33"/>
        <v>53</v>
      </c>
      <c r="D55" s="194">
        <f t="shared" si="34"/>
        <v>55</v>
      </c>
      <c r="E55" s="194">
        <f t="shared" si="35"/>
        <v>5</v>
      </c>
      <c r="F55" s="209" t="str">
        <f t="shared" ca="1" si="29"/>
        <v>4 x VT 115V and 4 x CT 5 A RMS protection analog inputs</v>
      </c>
      <c r="G55" s="196" t="str">
        <f t="shared" ca="1" si="30"/>
        <v>P5</v>
      </c>
      <c r="H55" s="197">
        <f t="shared" ca="1" si="31"/>
        <v>0</v>
      </c>
      <c r="I55" s="197" t="s">
        <v>56</v>
      </c>
      <c r="K55" s="213"/>
    </row>
    <row r="56" spans="1:11" x14ac:dyDescent="0.2">
      <c r="C56" s="194">
        <f t="shared" si="33"/>
        <v>54</v>
      </c>
      <c r="D56" s="194">
        <f t="shared" si="34"/>
        <v>56</v>
      </c>
      <c r="E56" s="194">
        <f t="shared" si="35"/>
        <v>6</v>
      </c>
      <c r="F56" s="209" t="str">
        <f t="shared" ca="1" si="29"/>
        <v>4 x ±10 Vdc and 4 x 0-20 mAdc transducer inputs</v>
      </c>
      <c r="G56" s="196" t="str">
        <f t="shared" ca="1" si="30"/>
        <v>DC</v>
      </c>
      <c r="H56" s="197">
        <f t="shared" ca="1" si="31"/>
        <v>0</v>
      </c>
      <c r="I56" s="197" t="s">
        <v>56</v>
      </c>
      <c r="K56" s="213"/>
    </row>
    <row r="57" spans="1:11" x14ac:dyDescent="0.2">
      <c r="C57" s="194">
        <f t="shared" si="33"/>
        <v>55</v>
      </c>
      <c r="D57" s="194">
        <f t="shared" si="34"/>
        <v>57</v>
      </c>
      <c r="E57" s="194">
        <f t="shared" si="35"/>
        <v>7</v>
      </c>
      <c r="F57" s="209" t="str">
        <f t="shared" ca="1" si="29"/>
        <v>Not installed</v>
      </c>
      <c r="G57" s="196" t="str">
        <f t="shared" ca="1" si="30"/>
        <v>XX</v>
      </c>
      <c r="H57" s="197">
        <f t="shared" ca="1" si="31"/>
        <v>0</v>
      </c>
      <c r="I57" s="197" t="s">
        <v>56</v>
      </c>
      <c r="K57" s="213"/>
    </row>
    <row r="58" spans="1:11" x14ac:dyDescent="0.2">
      <c r="C58" s="194">
        <f t="shared" si="33"/>
        <v>56</v>
      </c>
      <c r="D58" s="194">
        <f t="shared" si="34"/>
        <v>58</v>
      </c>
      <c r="E58" s="194">
        <f t="shared" si="35"/>
        <v>8</v>
      </c>
      <c r="F58" s="209" t="str">
        <f t="shared" ca="1" si="29"/>
        <v/>
      </c>
      <c r="G58" s="196" t="str">
        <f t="shared" ca="1" si="30"/>
        <v/>
      </c>
      <c r="H58" s="197" t="str">
        <f t="shared" ca="1" si="31"/>
        <v/>
      </c>
      <c r="I58" s="197" t="s">
        <v>56</v>
      </c>
      <c r="K58" s="213"/>
    </row>
    <row r="59" spans="1:11" x14ac:dyDescent="0.2">
      <c r="C59" s="194">
        <f t="shared" si="33"/>
        <v>57</v>
      </c>
      <c r="D59" s="194">
        <f t="shared" si="34"/>
        <v>59</v>
      </c>
      <c r="E59" s="194">
        <f t="shared" si="35"/>
        <v>9</v>
      </c>
      <c r="F59" s="209" t="str">
        <f t="shared" ca="1" si="29"/>
        <v/>
      </c>
      <c r="G59" s="196" t="str">
        <f t="shared" ca="1" si="30"/>
        <v/>
      </c>
      <c r="H59" s="197" t="str">
        <f t="shared" ca="1" si="31"/>
        <v/>
      </c>
      <c r="I59" s="197" t="s">
        <v>56</v>
      </c>
      <c r="K59" s="213"/>
    </row>
    <row r="60" spans="1:11" x14ac:dyDescent="0.2">
      <c r="C60" s="198">
        <f t="shared" ref="C60" si="36">C59+1</f>
        <v>58</v>
      </c>
      <c r="D60" s="198">
        <f t="shared" si="34"/>
        <v>60</v>
      </c>
      <c r="E60" s="198">
        <f t="shared" si="35"/>
        <v>10</v>
      </c>
      <c r="F60" s="210" t="str">
        <f t="shared" ca="1" si="29"/>
        <v/>
      </c>
      <c r="G60" s="200" t="str">
        <f t="shared" ca="1" si="30"/>
        <v/>
      </c>
      <c r="H60" s="201" t="str">
        <f t="shared" ca="1" si="31"/>
        <v/>
      </c>
      <c r="I60" s="201" t="str">
        <f t="shared" ca="1" si="32"/>
        <v/>
      </c>
      <c r="J60" s="217"/>
      <c r="K60" s="218"/>
    </row>
    <row r="62" spans="1:11" x14ac:dyDescent="0.2">
      <c r="A62" s="184">
        <v>7</v>
      </c>
      <c r="B62" s="185" t="str">
        <f>'Date Drivers'!$B$61</f>
        <v>Slot G -  Flexible I/O Options</v>
      </c>
      <c r="C62" s="185" t="s">
        <v>255</v>
      </c>
      <c r="D62" s="186"/>
      <c r="E62" s="207">
        <v>7</v>
      </c>
      <c r="F62" s="202" t="str">
        <f ca="1">VLOOKUP($E$62,$E$63:$I$72,2,FALSE)</f>
        <v>Not installed</v>
      </c>
      <c r="G62" s="188" t="str">
        <f ca="1">IF(AND(OR(G50="DC",G50="ME",G50="P5",G50="P1",G38="DC",G38="ME",G38="P5",G38="P1"), E62&lt;3),"XX",VLOOKUP($E$62,$E$63:$I$72,3,FALSE))</f>
        <v>XX</v>
      </c>
      <c r="H62" s="189">
        <f ca="1">VLOOKUP($E$62,$E$63:$I$72,4,FALSE)</f>
        <v>0</v>
      </c>
      <c r="I62" s="189" t="str">
        <f ca="1">VLOOKUP($E$62,$E$63:$I$72,5,FALSE)</f>
        <v/>
      </c>
    </row>
    <row r="63" spans="1:11" x14ac:dyDescent="0.2">
      <c r="C63" s="190">
        <f>MATCH(A62,'Date Drivers'!$A:$A,0)</f>
        <v>61</v>
      </c>
      <c r="D63" s="190">
        <f ca="1">IF(G145="A",MATCH(A62,'Date Drivers'!A:A,0),MATCH(A62,'Date Drivers'!A:A,0)+2)</f>
        <v>63</v>
      </c>
      <c r="E63" s="190">
        <v>1</v>
      </c>
      <c r="F63" s="208" t="str">
        <f t="shared" ref="F63:F72" ca="1" si="37">IF(INDEX(INDIRECT($L$1&amp;":"&amp;$L$2),D63,1)=0,"",INDEX(INDIRECT($L$1&amp;":"&amp;$L$2),D63,1))</f>
        <v>16 x 24/48/125/250 V binary inputs</v>
      </c>
      <c r="G63" s="192" t="str">
        <f t="shared" ref="G63:G72" ca="1" si="38">IF(INDEX(INDIRECT($L$1&amp;":"&amp;$L$2),D63,1)=0,"",INDEX(INDIRECT($L$1&amp;":"&amp;$L$2),D63,2))</f>
        <v>B3</v>
      </c>
      <c r="H63" s="193">
        <f t="shared" ref="H63:H72" ca="1" si="39">IF(INDEX(INDIRECT($L$1&amp;":"&amp;$L$2),D63,1)=0,"",INDEX(INDIRECT($L$1&amp;":"&amp;$L$2),D63,3))</f>
        <v>0</v>
      </c>
      <c r="I63" s="193" t="str">
        <f ca="1">IF(INDEX(INDIRECT($L$1&amp;":"&amp;$L$2),D7,1)=0,"",INDEX(INDIRECT($L$1&amp;":"&amp;$L$2),D7,4))</f>
        <v/>
      </c>
      <c r="K63" s="213"/>
    </row>
    <row r="64" spans="1:11" x14ac:dyDescent="0.2">
      <c r="C64" s="194">
        <f t="shared" ref="C64:C71" si="40">C63+1</f>
        <v>62</v>
      </c>
      <c r="D64" s="194">
        <f t="shared" ref="D64:E72" ca="1" si="41">D63+1</f>
        <v>64</v>
      </c>
      <c r="E64" s="194">
        <f t="shared" si="41"/>
        <v>2</v>
      </c>
      <c r="F64" s="209" t="str">
        <f t="shared" ca="1" si="37"/>
        <v>6 x  24/48/125/250 V binary inputs and 8 x Form-A binary outputs</v>
      </c>
      <c r="G64" s="196" t="str">
        <f t="shared" ca="1" si="38"/>
        <v>B4</v>
      </c>
      <c r="H64" s="197">
        <f t="shared" ca="1" si="39"/>
        <v>0</v>
      </c>
      <c r="I64" s="197" t="str">
        <f ca="1">IF(INDEX(INDIRECT($L$1&amp;":"&amp;$L$2),D7,1)=0,"",INDEX(INDIRECT($L$1&amp;":"&amp;$L$2),D7,4))</f>
        <v/>
      </c>
      <c r="K64" s="213"/>
    </row>
    <row r="65" spans="1:11" x14ac:dyDescent="0.2">
      <c r="C65" s="194">
        <f t="shared" si="40"/>
        <v>63</v>
      </c>
      <c r="D65" s="194">
        <f>MATCH(A62,'Date Drivers'!A:A,0)+4</f>
        <v>65</v>
      </c>
      <c r="E65" s="194">
        <f t="shared" si="41"/>
        <v>3</v>
      </c>
      <c r="F65" s="209" t="str">
        <f t="shared" ca="1" si="37"/>
        <v>4 x VT 115 V and 4 CT 1/5 A RMS measurement analog inputs</v>
      </c>
      <c r="G65" s="196" t="str">
        <f t="shared" ca="1" si="38"/>
        <v>ME</v>
      </c>
      <c r="H65" s="197">
        <f t="shared" ca="1" si="39"/>
        <v>0</v>
      </c>
      <c r="I65" s="197" t="str">
        <f ca="1">IF(INDEX(INDIRECT($L$1&amp;":"&amp;$L$2),D7,1)=0,"",INDEX(INDIRECT($L$1&amp;":"&amp;$L$2),D7,4))</f>
        <v/>
      </c>
      <c r="K65" s="213"/>
    </row>
    <row r="66" spans="1:11" x14ac:dyDescent="0.2">
      <c r="C66" s="194">
        <f t="shared" si="40"/>
        <v>64</v>
      </c>
      <c r="D66" s="194">
        <f t="shared" si="41"/>
        <v>66</v>
      </c>
      <c r="E66" s="194">
        <f t="shared" si="41"/>
        <v>4</v>
      </c>
      <c r="F66" s="209" t="str">
        <f t="shared" ca="1" si="37"/>
        <v>4 x VT 115 V and 4 x CT 1 A RMS protection analog inputs</v>
      </c>
      <c r="G66" s="196" t="str">
        <f t="shared" ca="1" si="38"/>
        <v>P1</v>
      </c>
      <c r="H66" s="197">
        <f t="shared" ca="1" si="39"/>
        <v>0</v>
      </c>
      <c r="I66" s="197" t="str">
        <f ca="1">IF(INDEX(INDIRECT($L$1&amp;":"&amp;$L$2),D7,1)=0,"",INDEX(INDIRECT($L$1&amp;":"&amp;$L$2),D7,4))</f>
        <v/>
      </c>
      <c r="K66" s="213"/>
    </row>
    <row r="67" spans="1:11" x14ac:dyDescent="0.2">
      <c r="C67" s="194">
        <f t="shared" si="40"/>
        <v>65</v>
      </c>
      <c r="D67" s="194">
        <f t="shared" si="41"/>
        <v>67</v>
      </c>
      <c r="E67" s="194">
        <f t="shared" si="41"/>
        <v>5</v>
      </c>
      <c r="F67" s="209" t="str">
        <f t="shared" ca="1" si="37"/>
        <v>4 x VT 115V and 4 x CT 5 A RMS protection analog inputs</v>
      </c>
      <c r="G67" s="196" t="str">
        <f t="shared" ca="1" si="38"/>
        <v>P5</v>
      </c>
      <c r="H67" s="197">
        <f t="shared" ca="1" si="39"/>
        <v>0</v>
      </c>
      <c r="I67" s="197" t="str">
        <f ca="1">IF(INDEX(INDIRECT($L$1&amp;":"&amp;$L$2),D7,1)=0,"",INDEX(INDIRECT($L$1&amp;":"&amp;$L$2),D7,4))</f>
        <v/>
      </c>
      <c r="K67" s="213"/>
    </row>
    <row r="68" spans="1:11" x14ac:dyDescent="0.2">
      <c r="C68" s="194">
        <f t="shared" si="40"/>
        <v>66</v>
      </c>
      <c r="D68" s="194">
        <f t="shared" si="41"/>
        <v>68</v>
      </c>
      <c r="E68" s="194">
        <f t="shared" si="41"/>
        <v>6</v>
      </c>
      <c r="F68" s="209" t="str">
        <f t="shared" ca="1" si="37"/>
        <v>4 x ±10 Vdc and 4 x 0-20 mAdc transducer inputs</v>
      </c>
      <c r="G68" s="196" t="str">
        <f t="shared" ca="1" si="38"/>
        <v>DC</v>
      </c>
      <c r="H68" s="197">
        <f t="shared" ca="1" si="39"/>
        <v>0</v>
      </c>
      <c r="I68" s="197" t="str">
        <f ca="1">IF(INDEX(INDIRECT($L$1&amp;":"&amp;$L$2),D7,1)=0,"",INDEX(INDIRECT($L$1&amp;":"&amp;$L$2),D7,4))</f>
        <v/>
      </c>
      <c r="K68" s="213"/>
    </row>
    <row r="69" spans="1:11" x14ac:dyDescent="0.2">
      <c r="C69" s="194">
        <f t="shared" si="40"/>
        <v>67</v>
      </c>
      <c r="D69" s="194">
        <f t="shared" si="41"/>
        <v>69</v>
      </c>
      <c r="E69" s="194">
        <f t="shared" si="41"/>
        <v>7</v>
      </c>
      <c r="F69" s="209" t="str">
        <f t="shared" ca="1" si="37"/>
        <v>Not installed</v>
      </c>
      <c r="G69" s="196" t="str">
        <f t="shared" ca="1" si="38"/>
        <v>XX</v>
      </c>
      <c r="H69" s="197">
        <f t="shared" ca="1" si="39"/>
        <v>0</v>
      </c>
      <c r="I69" s="197" t="str">
        <f ca="1">IF(INDEX(INDIRECT($L$1&amp;":"&amp;$L$2),D7,1)=0,"",INDEX(INDIRECT($L$1&amp;":"&amp;$L$2),D7,4))</f>
        <v/>
      </c>
      <c r="K69" s="213"/>
    </row>
    <row r="70" spans="1:11" x14ac:dyDescent="0.2">
      <c r="C70" s="194">
        <f t="shared" si="40"/>
        <v>68</v>
      </c>
      <c r="D70" s="194">
        <f t="shared" si="41"/>
        <v>70</v>
      </c>
      <c r="E70" s="194">
        <f t="shared" si="41"/>
        <v>8</v>
      </c>
      <c r="F70" s="209" t="str">
        <f t="shared" ca="1" si="37"/>
        <v/>
      </c>
      <c r="G70" s="196" t="str">
        <f t="shared" ca="1" si="38"/>
        <v/>
      </c>
      <c r="H70" s="197" t="str">
        <f t="shared" ca="1" si="39"/>
        <v/>
      </c>
      <c r="I70" s="197" t="str">
        <f ca="1">IF(INDEX(INDIRECT($L$1&amp;":"&amp;$L$2),D7,1)=0,"",INDEX(INDIRECT($L$1&amp;":"&amp;$L$2),D7,4))</f>
        <v/>
      </c>
      <c r="K70" s="213"/>
    </row>
    <row r="71" spans="1:11" x14ac:dyDescent="0.2">
      <c r="C71" s="194">
        <f t="shared" si="40"/>
        <v>69</v>
      </c>
      <c r="D71" s="194">
        <f t="shared" si="41"/>
        <v>71</v>
      </c>
      <c r="E71" s="194">
        <f t="shared" si="41"/>
        <v>9</v>
      </c>
      <c r="F71" s="209" t="str">
        <f t="shared" ca="1" si="37"/>
        <v/>
      </c>
      <c r="G71" s="196" t="str">
        <f t="shared" ca="1" si="38"/>
        <v/>
      </c>
      <c r="H71" s="197" t="str">
        <f t="shared" ca="1" si="39"/>
        <v/>
      </c>
      <c r="I71" s="197" t="str">
        <f ca="1">IF(INDEX(INDIRECT($L$1&amp;":"&amp;$L$2),D7,1)=0,"",INDEX(INDIRECT($L$1&amp;":"&amp;$L$2),D7,4))</f>
        <v/>
      </c>
      <c r="K71" s="213"/>
    </row>
    <row r="72" spans="1:11" x14ac:dyDescent="0.2">
      <c r="C72" s="198">
        <f t="shared" ref="C72" si="42">C71+1</f>
        <v>70</v>
      </c>
      <c r="D72" s="198">
        <f t="shared" si="41"/>
        <v>72</v>
      </c>
      <c r="E72" s="198">
        <f t="shared" si="41"/>
        <v>10</v>
      </c>
      <c r="F72" s="210" t="str">
        <f t="shared" ca="1" si="37"/>
        <v/>
      </c>
      <c r="G72" s="200" t="str">
        <f t="shared" ca="1" si="38"/>
        <v/>
      </c>
      <c r="H72" s="201" t="str">
        <f t="shared" ca="1" si="39"/>
        <v/>
      </c>
      <c r="I72" s="201" t="str">
        <f t="shared" ref="I72" ca="1" si="43">IF(INDEX(INDIRECT($L$1&amp;":"&amp;$L$2),D72,1)=0,"",INDEX(INDIRECT($L$1&amp;":"&amp;$L$2),D72,4))</f>
        <v/>
      </c>
      <c r="J72" s="217"/>
      <c r="K72" s="218"/>
    </row>
    <row r="74" spans="1:11" x14ac:dyDescent="0.2">
      <c r="A74" s="184">
        <v>8</v>
      </c>
      <c r="B74" s="185" t="str">
        <f>'Date Drivers'!$B$73</f>
        <v>Slot H -  Flexible I/O Options</v>
      </c>
      <c r="C74" s="185" t="s">
        <v>255</v>
      </c>
      <c r="D74" s="186"/>
      <c r="E74" s="207">
        <v>7</v>
      </c>
      <c r="F74" s="202" t="str">
        <f ca="1">VLOOKUP($E$74,$E$75:$I$84,2,FALSE)</f>
        <v>Not installed</v>
      </c>
      <c r="G74" s="188" t="str">
        <f ca="1">IF(AND(OR(G62="DC",G62="P5",G62="P1",G62="ME",G50="DC",G50="ME",G50="P5",G50="P1",G38="DC",G38="ME",G38="P5",G38="P1"),E74&lt;3),"XX",VLOOKUP($E$74,$E$75:$I$84,3,FALSE))</f>
        <v>XX</v>
      </c>
      <c r="H74" s="189">
        <f ca="1">VLOOKUP($E$74,$E$75:$I$84,4,FALSE)</f>
        <v>0</v>
      </c>
      <c r="I74" s="189" t="str">
        <f>VLOOKUP($E$74,$E$75:$I$84,5,FALSE)</f>
        <v>Y</v>
      </c>
    </row>
    <row r="75" spans="1:11" x14ac:dyDescent="0.2">
      <c r="C75" s="190">
        <f>MATCH(A74,'Date Drivers'!$A:$A,0)</f>
        <v>73</v>
      </c>
      <c r="D75" s="190">
        <f ca="1">IF(G145="A",MATCH(A74,'Date Drivers'!A:A,0),MATCH(A74,'Date Drivers'!A:A,0)+2)</f>
        <v>75</v>
      </c>
      <c r="E75" s="190">
        <v>1</v>
      </c>
      <c r="F75" s="208" t="str">
        <f t="shared" ref="F75:F84" ca="1" si="44">IF(INDEX(INDIRECT($L$1&amp;":"&amp;$L$2),D75,1)=0,"",INDEX(INDIRECT($L$1&amp;":"&amp;$L$2),D75,1))</f>
        <v>16 x 24/48/125/250 V binary inputs</v>
      </c>
      <c r="G75" s="192" t="str">
        <f ca="1">IF(INDEX(INDIRECT($L$1&amp;":"&amp;$L$2),D75,1)=0,"",INDEX(INDIRECT($L$1&amp;":"&amp;$L$2),D75,2))</f>
        <v>B3</v>
      </c>
      <c r="H75" s="193">
        <f t="shared" ref="H75:H84" ca="1" si="45">IF(INDEX(INDIRECT($L$1&amp;":"&amp;$L$2),D75,1)=0,"",INDEX(INDIRECT($L$1&amp;":"&amp;$L$2),D75,3))</f>
        <v>0</v>
      </c>
      <c r="I75" s="193" t="str">
        <f t="shared" ref="I75:I78" ca="1" si="46">IF(INDEX(INDIRECT($L$1&amp;":"&amp;$L$2),D75,1)=0,"",INDEX(INDIRECT($L$1&amp;":"&amp;$L$2),D75,4))</f>
        <v>Y</v>
      </c>
      <c r="K75" s="213"/>
    </row>
    <row r="76" spans="1:11" x14ac:dyDescent="0.2">
      <c r="C76" s="194">
        <f t="shared" ref="C76:C83" si="47">C75+1</f>
        <v>74</v>
      </c>
      <c r="D76" s="194">
        <f t="shared" ref="D76:E84" ca="1" si="48">D75+1</f>
        <v>76</v>
      </c>
      <c r="E76" s="194">
        <f t="shared" si="48"/>
        <v>2</v>
      </c>
      <c r="F76" s="209" t="str">
        <f t="shared" ca="1" si="44"/>
        <v>6 x  24/48/125/250 V binary inputs and 8 x Form-A binary outputs</v>
      </c>
      <c r="G76" s="196" t="str">
        <f t="shared" ref="G76:G84" ca="1" si="49">IF(INDEX(INDIRECT($L$1&amp;":"&amp;$L$2),D76,1)=0,"",INDEX(INDIRECT($L$1&amp;":"&amp;$L$2),D76,2))</f>
        <v>B4</v>
      </c>
      <c r="H76" s="197">
        <f t="shared" ca="1" si="45"/>
        <v>0</v>
      </c>
      <c r="I76" s="197" t="str">
        <f t="shared" ca="1" si="46"/>
        <v>Y</v>
      </c>
      <c r="K76" s="213"/>
    </row>
    <row r="77" spans="1:11" x14ac:dyDescent="0.2">
      <c r="C77" s="194">
        <f t="shared" si="47"/>
        <v>75</v>
      </c>
      <c r="D77" s="194">
        <f>MATCH(A74,'Date Drivers'!A:A,0)+4</f>
        <v>77</v>
      </c>
      <c r="E77" s="194">
        <f t="shared" si="48"/>
        <v>3</v>
      </c>
      <c r="F77" s="209" t="str">
        <f t="shared" ca="1" si="44"/>
        <v>4 x VT 115 V and 4 CT 1/5 A RMS measurement analog inputs</v>
      </c>
      <c r="G77" s="196" t="str">
        <f t="shared" ca="1" si="49"/>
        <v>ME</v>
      </c>
      <c r="H77" s="197">
        <f t="shared" ca="1" si="45"/>
        <v>0</v>
      </c>
      <c r="I77" s="197" t="str">
        <f t="shared" ca="1" si="46"/>
        <v>Y</v>
      </c>
      <c r="K77" s="213"/>
    </row>
    <row r="78" spans="1:11" x14ac:dyDescent="0.2">
      <c r="C78" s="194">
        <f t="shared" si="47"/>
        <v>76</v>
      </c>
      <c r="D78" s="194">
        <f t="shared" si="48"/>
        <v>78</v>
      </c>
      <c r="E78" s="194">
        <f t="shared" si="48"/>
        <v>4</v>
      </c>
      <c r="F78" s="209" t="str">
        <f t="shared" ca="1" si="44"/>
        <v>4 x VT 115 V and 4 x CT 1 A RMS protection analog inputs</v>
      </c>
      <c r="G78" s="196" t="str">
        <f t="shared" ca="1" si="49"/>
        <v>P1</v>
      </c>
      <c r="H78" s="197">
        <f t="shared" ca="1" si="45"/>
        <v>0</v>
      </c>
      <c r="I78" s="197" t="str">
        <f t="shared" ca="1" si="46"/>
        <v>Y</v>
      </c>
      <c r="K78" s="213"/>
    </row>
    <row r="79" spans="1:11" x14ac:dyDescent="0.2">
      <c r="C79" s="194">
        <f t="shared" si="47"/>
        <v>77</v>
      </c>
      <c r="D79" s="194">
        <f t="shared" si="48"/>
        <v>79</v>
      </c>
      <c r="E79" s="194">
        <f t="shared" si="48"/>
        <v>5</v>
      </c>
      <c r="F79" s="209" t="str">
        <f t="shared" ca="1" si="44"/>
        <v>4 x VT 115V and 4 x CT 5 A RMS protection analog inputs</v>
      </c>
      <c r="G79" s="196" t="str">
        <f t="shared" ca="1" si="49"/>
        <v>P5</v>
      </c>
      <c r="H79" s="197">
        <f t="shared" ca="1" si="45"/>
        <v>0</v>
      </c>
      <c r="I79" s="197" t="s">
        <v>56</v>
      </c>
      <c r="K79" s="213"/>
    </row>
    <row r="80" spans="1:11" x14ac:dyDescent="0.2">
      <c r="C80" s="194">
        <f t="shared" si="47"/>
        <v>78</v>
      </c>
      <c r="D80" s="194">
        <f t="shared" si="48"/>
        <v>80</v>
      </c>
      <c r="E80" s="194">
        <f t="shared" si="48"/>
        <v>6</v>
      </c>
      <c r="F80" s="209" t="str">
        <f t="shared" ca="1" si="44"/>
        <v>4 x ±10 Vdc and 4 x 0-20 mAdc transducer inputs</v>
      </c>
      <c r="G80" s="196" t="str">
        <f t="shared" ca="1" si="49"/>
        <v>DC</v>
      </c>
      <c r="H80" s="197">
        <f t="shared" ca="1" si="45"/>
        <v>0</v>
      </c>
      <c r="I80" s="197" t="s">
        <v>56</v>
      </c>
      <c r="K80" s="213"/>
    </row>
    <row r="81" spans="1:13" x14ac:dyDescent="0.2">
      <c r="C81" s="194">
        <f t="shared" si="47"/>
        <v>79</v>
      </c>
      <c r="D81" s="194">
        <f t="shared" si="48"/>
        <v>81</v>
      </c>
      <c r="E81" s="194">
        <f t="shared" si="48"/>
        <v>7</v>
      </c>
      <c r="F81" s="209" t="str">
        <f t="shared" ca="1" si="44"/>
        <v>Not installed</v>
      </c>
      <c r="G81" s="196" t="str">
        <f t="shared" ca="1" si="49"/>
        <v>XX</v>
      </c>
      <c r="H81" s="197">
        <f t="shared" ca="1" si="45"/>
        <v>0</v>
      </c>
      <c r="I81" s="197" t="s">
        <v>56</v>
      </c>
      <c r="K81" s="213"/>
    </row>
    <row r="82" spans="1:13" x14ac:dyDescent="0.2">
      <c r="C82" s="194">
        <f t="shared" si="47"/>
        <v>80</v>
      </c>
      <c r="D82" s="194">
        <f t="shared" si="48"/>
        <v>82</v>
      </c>
      <c r="E82" s="194">
        <f t="shared" si="48"/>
        <v>8</v>
      </c>
      <c r="F82" s="209" t="str">
        <f t="shared" ca="1" si="44"/>
        <v/>
      </c>
      <c r="G82" s="196" t="str">
        <f t="shared" ca="1" si="49"/>
        <v/>
      </c>
      <c r="H82" s="197" t="str">
        <f t="shared" ca="1" si="45"/>
        <v/>
      </c>
      <c r="I82" s="197" t="s">
        <v>56</v>
      </c>
      <c r="K82" s="213"/>
    </row>
    <row r="83" spans="1:13" x14ac:dyDescent="0.2">
      <c r="C83" s="194">
        <f t="shared" si="47"/>
        <v>81</v>
      </c>
      <c r="D83" s="194">
        <f t="shared" si="48"/>
        <v>83</v>
      </c>
      <c r="E83" s="194">
        <f t="shared" si="48"/>
        <v>9</v>
      </c>
      <c r="F83" s="209" t="str">
        <f t="shared" ca="1" si="44"/>
        <v/>
      </c>
      <c r="G83" s="196" t="str">
        <f t="shared" ca="1" si="49"/>
        <v/>
      </c>
      <c r="H83" s="197" t="str">
        <f t="shared" ca="1" si="45"/>
        <v/>
      </c>
      <c r="I83" s="197" t="s">
        <v>56</v>
      </c>
      <c r="K83" s="213"/>
    </row>
    <row r="84" spans="1:13" x14ac:dyDescent="0.2">
      <c r="C84" s="198">
        <f t="shared" ref="C84" si="50">C83+1</f>
        <v>82</v>
      </c>
      <c r="D84" s="198">
        <f t="shared" si="48"/>
        <v>84</v>
      </c>
      <c r="E84" s="198">
        <f t="shared" si="48"/>
        <v>10</v>
      </c>
      <c r="F84" s="210" t="str">
        <f t="shared" ca="1" si="44"/>
        <v/>
      </c>
      <c r="G84" s="200" t="str">
        <f t="shared" ca="1" si="49"/>
        <v/>
      </c>
      <c r="H84" s="201" t="str">
        <f t="shared" ca="1" si="45"/>
        <v/>
      </c>
      <c r="I84" s="201" t="str">
        <f t="shared" ref="I84" ca="1" si="51">IF(INDEX(INDIRECT($L$1&amp;":"&amp;$L$2),D84,1)=0,"",INDEX(INDIRECT($L$1&amp;":"&amp;$L$2),D84,4))</f>
        <v/>
      </c>
      <c r="J84" s="217"/>
      <c r="K84" s="218"/>
    </row>
    <row r="86" spans="1:13" x14ac:dyDescent="0.2">
      <c r="A86" s="184">
        <v>9</v>
      </c>
      <c r="B86" s="185" t="str">
        <f>'Date Drivers'!$B$85</f>
        <v>Primary Functions</v>
      </c>
      <c r="C86" s="185" t="s">
        <v>255</v>
      </c>
      <c r="D86" s="186"/>
      <c r="E86" s="207">
        <v>0</v>
      </c>
      <c r="F86" s="211" t="s">
        <v>154</v>
      </c>
      <c r="G86" s="188" t="str">
        <f>TEXT(DEC2HEX(K96,1),"0")</f>
        <v>0</v>
      </c>
      <c r="H86" s="189" t="e">
        <f>VLOOKUP($E$86,$E$87:$I$96,4,FALSE)</f>
        <v>#N/A</v>
      </c>
      <c r="I86" s="203" t="e">
        <f>VLOOKUP($E$86,$E$87:$I$96,5,FALSE)</f>
        <v>#N/A</v>
      </c>
      <c r="M86" s="171" t="s">
        <v>112</v>
      </c>
    </row>
    <row r="87" spans="1:13" x14ac:dyDescent="0.2">
      <c r="C87" s="190">
        <f>MATCH(A86,'Date Drivers'!$A:$A,0)</f>
        <v>85</v>
      </c>
      <c r="D87" s="190">
        <f>MATCH(A86,'Date Drivers'!A:A,0)</f>
        <v>85</v>
      </c>
      <c r="E87" s="190">
        <v>1</v>
      </c>
      <c r="F87" s="208" t="str">
        <f t="shared" ref="F87:F96" ca="1" si="52">IF(INDEX(INDIRECT($L$1&amp;":"&amp;$L$2),D87,1)=0,"",INDEX(INDIRECT($L$1&amp;":"&amp;$L$2),D87,1))</f>
        <v>Phasor Measurement Unit (PMU)</v>
      </c>
      <c r="G87" s="192">
        <f t="shared" ref="G87:G96" ca="1" si="53">IF(INDEX(INDIRECT($L$1&amp;":"&amp;$L$2),D87,1)=0,"",INDEX(INDIRECT($L$1&amp;":"&amp;$L$2),D87,2))</f>
        <v>1</v>
      </c>
      <c r="H87" s="212">
        <f t="shared" ref="H87:H96" ca="1" si="54">IF(INDEX(INDIRECT($L$1&amp;":"&amp;$L$2),D87,1)=0,"",INDEX(INDIRECT($L$1&amp;":"&amp;$L$2),D87,3))</f>
        <v>0</v>
      </c>
      <c r="I87" s="193" t="s">
        <v>56</v>
      </c>
      <c r="J87" s="171" t="b">
        <v>0</v>
      </c>
      <c r="K87" s="213">
        <f>IF(AND(J87,J98),G87,0)</f>
        <v>0</v>
      </c>
      <c r="M87" s="214" t="str">
        <f>VLOOKUP($K$87*1,$E$86:$F$96,2,FALSE)</f>
        <v>---</v>
      </c>
    </row>
    <row r="88" spans="1:13" x14ac:dyDescent="0.2">
      <c r="C88" s="194">
        <f t="shared" ref="C88:C95" si="55">C87+1</f>
        <v>86</v>
      </c>
      <c r="D88" s="194">
        <f t="shared" ref="D88:E88" si="56">D87+1</f>
        <v>86</v>
      </c>
      <c r="E88" s="194">
        <f t="shared" si="56"/>
        <v>2</v>
      </c>
      <c r="F88" s="209" t="str">
        <f t="shared" ca="1" si="52"/>
        <v/>
      </c>
      <c r="G88" s="196" t="str">
        <f t="shared" ca="1" si="53"/>
        <v/>
      </c>
      <c r="H88" s="215" t="str">
        <f t="shared" ca="1" si="54"/>
        <v/>
      </c>
      <c r="I88" s="197" t="s">
        <v>56</v>
      </c>
      <c r="J88" s="171" t="b">
        <v>0</v>
      </c>
      <c r="K88" s="213">
        <f t="shared" ref="K88:K95" si="57">IF(J88,G88,0)*1</f>
        <v>0</v>
      </c>
      <c r="M88" s="214" t="str">
        <f>VLOOKUP($K$88*1,$E$86:$F$96,2,FALSE)</f>
        <v>---</v>
      </c>
    </row>
    <row r="89" spans="1:13" x14ac:dyDescent="0.2">
      <c r="C89" s="194">
        <f t="shared" si="55"/>
        <v>87</v>
      </c>
      <c r="D89" s="194">
        <f t="shared" ref="D89" si="58">D88+1</f>
        <v>87</v>
      </c>
      <c r="E89" s="194">
        <v>4</v>
      </c>
      <c r="F89" s="209" t="str">
        <f t="shared" ca="1" si="52"/>
        <v/>
      </c>
      <c r="G89" s="230" t="str">
        <f t="shared" ca="1" si="53"/>
        <v/>
      </c>
      <c r="H89" s="215" t="str">
        <f t="shared" ca="1" si="54"/>
        <v/>
      </c>
      <c r="I89" s="197" t="s">
        <v>56</v>
      </c>
      <c r="J89" s="171" t="b">
        <v>0</v>
      </c>
      <c r="K89" s="213">
        <f>IF(J88,G88,0)*1</f>
        <v>0</v>
      </c>
      <c r="M89" s="214" t="str">
        <f>VLOOKUP($K$89*1,$E$86:$F$96,2,FALSE)</f>
        <v>---</v>
      </c>
    </row>
    <row r="90" spans="1:13" x14ac:dyDescent="0.2">
      <c r="C90" s="194">
        <f t="shared" si="55"/>
        <v>88</v>
      </c>
      <c r="D90" s="194">
        <f t="shared" ref="D90" si="59">D89+1</f>
        <v>88</v>
      </c>
      <c r="E90" s="194">
        <v>8</v>
      </c>
      <c r="F90" s="209" t="str">
        <f t="shared" ca="1" si="52"/>
        <v/>
      </c>
      <c r="G90" s="196" t="str">
        <f t="shared" ca="1" si="53"/>
        <v/>
      </c>
      <c r="H90" s="215" t="str">
        <f t="shared" ca="1" si="54"/>
        <v/>
      </c>
      <c r="I90" s="197"/>
      <c r="J90" s="171" t="b">
        <v>0</v>
      </c>
      <c r="K90" s="213">
        <f t="shared" si="57"/>
        <v>0</v>
      </c>
    </row>
    <row r="91" spans="1:13" x14ac:dyDescent="0.2">
      <c r="C91" s="194">
        <f t="shared" si="55"/>
        <v>89</v>
      </c>
      <c r="D91" s="194">
        <f t="shared" ref="D91" si="60">D90+1</f>
        <v>89</v>
      </c>
      <c r="E91" s="194"/>
      <c r="F91" s="209" t="str">
        <f t="shared" ca="1" si="52"/>
        <v/>
      </c>
      <c r="G91" s="196" t="str">
        <f t="shared" ca="1" si="53"/>
        <v/>
      </c>
      <c r="H91" s="215" t="str">
        <f t="shared" ca="1" si="54"/>
        <v/>
      </c>
      <c r="I91" s="197"/>
      <c r="J91" s="171" t="b">
        <v>0</v>
      </c>
      <c r="K91" s="213">
        <f t="shared" si="57"/>
        <v>0</v>
      </c>
    </row>
    <row r="92" spans="1:13" x14ac:dyDescent="0.2">
      <c r="C92" s="194">
        <f t="shared" si="55"/>
        <v>90</v>
      </c>
      <c r="D92" s="194">
        <f t="shared" ref="D92" si="61">D91+1</f>
        <v>90</v>
      </c>
      <c r="E92" s="194"/>
      <c r="F92" s="209" t="str">
        <f t="shared" ca="1" si="52"/>
        <v/>
      </c>
      <c r="G92" s="196" t="str">
        <f t="shared" ca="1" si="53"/>
        <v/>
      </c>
      <c r="H92" s="215" t="str">
        <f t="shared" ca="1" si="54"/>
        <v/>
      </c>
      <c r="I92" s="197"/>
      <c r="J92" s="171" t="b">
        <v>0</v>
      </c>
      <c r="K92" s="213">
        <f t="shared" si="57"/>
        <v>0</v>
      </c>
    </row>
    <row r="93" spans="1:13" x14ac:dyDescent="0.2">
      <c r="C93" s="194">
        <f t="shared" si="55"/>
        <v>91</v>
      </c>
      <c r="D93" s="194">
        <f t="shared" ref="D93" si="62">D92+1</f>
        <v>91</v>
      </c>
      <c r="E93" s="194"/>
      <c r="F93" s="209" t="str">
        <f t="shared" ca="1" si="52"/>
        <v/>
      </c>
      <c r="G93" s="196" t="str">
        <f t="shared" ca="1" si="53"/>
        <v/>
      </c>
      <c r="H93" s="215" t="str">
        <f t="shared" ca="1" si="54"/>
        <v/>
      </c>
      <c r="I93" s="197"/>
      <c r="J93" s="171" t="b">
        <v>0</v>
      </c>
      <c r="K93" s="213">
        <f t="shared" si="57"/>
        <v>0</v>
      </c>
    </row>
    <row r="94" spans="1:13" x14ac:dyDescent="0.2">
      <c r="C94" s="194">
        <f t="shared" si="55"/>
        <v>92</v>
      </c>
      <c r="D94" s="194">
        <f t="shared" ref="D94" si="63">D93+1</f>
        <v>92</v>
      </c>
      <c r="E94" s="194"/>
      <c r="F94" s="209" t="str">
        <f t="shared" ca="1" si="52"/>
        <v/>
      </c>
      <c r="G94" s="196" t="str">
        <f t="shared" ca="1" si="53"/>
        <v/>
      </c>
      <c r="H94" s="215" t="str">
        <f t="shared" ca="1" si="54"/>
        <v/>
      </c>
      <c r="I94" s="197"/>
      <c r="J94" s="171" t="b">
        <v>0</v>
      </c>
      <c r="K94" s="213">
        <f t="shared" si="57"/>
        <v>0</v>
      </c>
    </row>
    <row r="95" spans="1:13" x14ac:dyDescent="0.2">
      <c r="C95" s="194">
        <f t="shared" si="55"/>
        <v>93</v>
      </c>
      <c r="D95" s="194">
        <f t="shared" ref="D95" si="64">D94+1</f>
        <v>93</v>
      </c>
      <c r="E95" s="194"/>
      <c r="F95" s="209" t="str">
        <f t="shared" ca="1" si="52"/>
        <v/>
      </c>
      <c r="G95" s="196" t="str">
        <f t="shared" ca="1" si="53"/>
        <v/>
      </c>
      <c r="H95" s="215" t="str">
        <f t="shared" ca="1" si="54"/>
        <v/>
      </c>
      <c r="I95" s="197"/>
      <c r="J95" s="171" t="b">
        <v>0</v>
      </c>
      <c r="K95" s="213">
        <f t="shared" si="57"/>
        <v>0</v>
      </c>
    </row>
    <row r="96" spans="1:13" x14ac:dyDescent="0.2">
      <c r="C96" s="198">
        <f t="shared" ref="C96" si="65">C95+1</f>
        <v>94</v>
      </c>
      <c r="D96" s="198">
        <f t="shared" ref="D96" si="66">D95+1</f>
        <v>94</v>
      </c>
      <c r="E96" s="198"/>
      <c r="F96" s="210" t="str">
        <f t="shared" ca="1" si="52"/>
        <v/>
      </c>
      <c r="G96" s="200" t="str">
        <f t="shared" ca="1" si="53"/>
        <v/>
      </c>
      <c r="H96" s="216" t="str">
        <f t="shared" ca="1" si="54"/>
        <v/>
      </c>
      <c r="I96" s="201" t="s">
        <v>56</v>
      </c>
      <c r="J96" s="217" t="s">
        <v>111</v>
      </c>
      <c r="K96" s="218">
        <f>SUM(K87:K95)</f>
        <v>0</v>
      </c>
    </row>
    <row r="97" spans="1:13" x14ac:dyDescent="0.2">
      <c r="A97" s="184"/>
      <c r="B97" s="185"/>
      <c r="C97" s="185" t="s">
        <v>255</v>
      </c>
      <c r="D97" s="186"/>
      <c r="E97" s="207">
        <v>0</v>
      </c>
      <c r="F97" s="211" t="s">
        <v>154</v>
      </c>
      <c r="G97" s="188" t="str">
        <f ca="1">TEXT(DEC2HEX(K107,1),"0")</f>
        <v>1</v>
      </c>
      <c r="H97" s="189" t="e">
        <f>VLOOKUP($E$86,$E$98:$I$107,4,FALSE)</f>
        <v>#N/A</v>
      </c>
      <c r="I97" s="203" t="e">
        <f>VLOOKUP($E$86,$E$98:$I$107,5,FALSE)</f>
        <v>#N/A</v>
      </c>
      <c r="M97" s="171" t="s">
        <v>112</v>
      </c>
    </row>
    <row r="98" spans="1:13" x14ac:dyDescent="0.2">
      <c r="C98" s="190">
        <f>C96+1</f>
        <v>95</v>
      </c>
      <c r="D98" s="190">
        <f>D96+1</f>
        <v>95</v>
      </c>
      <c r="E98" s="190">
        <v>1</v>
      </c>
      <c r="F98" s="208" t="str">
        <f t="shared" ref="F98:F107" ca="1" si="67">IF(INDEX(INDIRECT($L$1&amp;":"&amp;$L$2),D98,1)=0,"",INDEX(INDIRECT($L$1&amp;":"&amp;$L$2),D98,1))</f>
        <v>Waveform recorder</v>
      </c>
      <c r="G98" s="192">
        <f t="shared" ref="G98:G107" ca="1" si="68">IF(INDEX(INDIRECT($L$1&amp;":"&amp;$L$2),D98,1)=0,"",INDEX(INDIRECT($L$1&amp;":"&amp;$L$2),D98,2))</f>
        <v>1</v>
      </c>
      <c r="H98" s="212">
        <f t="shared" ref="H98:H107" ca="1" si="69">IF(INDEX(INDIRECT($L$1&amp;":"&amp;$L$2),D98,1)=0,"",INDEX(INDIRECT($L$1&amp;":"&amp;$L$2),D98,3))</f>
        <v>0</v>
      </c>
      <c r="I98" s="193" t="s">
        <v>56</v>
      </c>
      <c r="J98" s="171" t="b">
        <v>1</v>
      </c>
      <c r="K98" s="213">
        <f ca="1">IF(J98,G98,0)*1</f>
        <v>1</v>
      </c>
      <c r="M98" s="214" t="str">
        <f>VLOOKUP($K$87*1,$E$86:$F$96,2,FALSE)</f>
        <v>---</v>
      </c>
    </row>
    <row r="99" spans="1:13" x14ac:dyDescent="0.2">
      <c r="C99" s="194">
        <f t="shared" ref="C99:C106" si="70">C98+1</f>
        <v>96</v>
      </c>
      <c r="D99" s="194">
        <f t="shared" ref="D99:E107" si="71">D98+1</f>
        <v>96</v>
      </c>
      <c r="E99" s="194">
        <f t="shared" si="71"/>
        <v>2</v>
      </c>
      <c r="F99" s="209" t="str">
        <f t="shared" ca="1" si="67"/>
        <v>Disturbance Recorder</v>
      </c>
      <c r="G99" s="196">
        <f t="shared" ca="1" si="68"/>
        <v>2</v>
      </c>
      <c r="H99" s="215">
        <f t="shared" ca="1" si="69"/>
        <v>0</v>
      </c>
      <c r="I99" s="197" t="s">
        <v>56</v>
      </c>
      <c r="J99" s="171" t="b">
        <v>0</v>
      </c>
      <c r="K99" s="213">
        <f t="shared" ref="K99:K106" si="72">IF(J99,G99,0)*1</f>
        <v>0</v>
      </c>
      <c r="M99" s="214" t="str">
        <f>VLOOKUP($K$88*1,$E$86:$F$96,2,FALSE)</f>
        <v>---</v>
      </c>
    </row>
    <row r="100" spans="1:13" x14ac:dyDescent="0.2">
      <c r="C100" s="194">
        <f t="shared" si="70"/>
        <v>97</v>
      </c>
      <c r="D100" s="194">
        <f t="shared" si="71"/>
        <v>97</v>
      </c>
      <c r="E100" s="194">
        <v>4</v>
      </c>
      <c r="F100" s="209" t="str">
        <f t="shared" ca="1" si="67"/>
        <v>Continuous Disturbance Recorder</v>
      </c>
      <c r="G100" s="196">
        <f t="shared" ca="1" si="68"/>
        <v>4</v>
      </c>
      <c r="H100" s="215">
        <f t="shared" ca="1" si="69"/>
        <v>0</v>
      </c>
      <c r="I100" s="197" t="s">
        <v>56</v>
      </c>
      <c r="J100" s="171" t="b">
        <v>0</v>
      </c>
      <c r="K100" s="213">
        <f t="shared" si="72"/>
        <v>0</v>
      </c>
      <c r="M100" s="214" t="str">
        <f>VLOOKUP($K$89*1,$E$86:$F$96,2,FALSE)</f>
        <v>---</v>
      </c>
    </row>
    <row r="101" spans="1:13" x14ac:dyDescent="0.2">
      <c r="C101" s="194">
        <f t="shared" si="70"/>
        <v>98</v>
      </c>
      <c r="D101" s="194">
        <f t="shared" si="71"/>
        <v>98</v>
      </c>
      <c r="E101" s="194">
        <v>8</v>
      </c>
      <c r="F101" s="209" t="str">
        <f t="shared" ca="1" si="67"/>
        <v>Trend Recorder</v>
      </c>
      <c r="G101" s="196">
        <f t="shared" ca="1" si="68"/>
        <v>8</v>
      </c>
      <c r="H101" s="215">
        <f t="shared" ca="1" si="69"/>
        <v>0</v>
      </c>
      <c r="I101" s="197" t="s">
        <v>56</v>
      </c>
      <c r="J101" s="171" t="b">
        <v>0</v>
      </c>
      <c r="K101" s="213">
        <f t="shared" si="72"/>
        <v>0</v>
      </c>
    </row>
    <row r="102" spans="1:13" x14ac:dyDescent="0.2">
      <c r="C102" s="194">
        <f t="shared" si="70"/>
        <v>99</v>
      </c>
      <c r="D102" s="194">
        <f t="shared" si="71"/>
        <v>99</v>
      </c>
      <c r="E102" s="194"/>
      <c r="F102" s="209" t="str">
        <f t="shared" ca="1" si="67"/>
        <v/>
      </c>
      <c r="G102" s="196" t="str">
        <f t="shared" ca="1" si="68"/>
        <v/>
      </c>
      <c r="H102" s="215" t="str">
        <f t="shared" ca="1" si="69"/>
        <v/>
      </c>
      <c r="I102" s="197"/>
      <c r="J102" s="171" t="b">
        <v>0</v>
      </c>
      <c r="K102" s="213">
        <f t="shared" si="72"/>
        <v>0</v>
      </c>
    </row>
    <row r="103" spans="1:13" x14ac:dyDescent="0.2">
      <c r="C103" s="194">
        <f t="shared" si="70"/>
        <v>100</v>
      </c>
      <c r="D103" s="194">
        <f t="shared" si="71"/>
        <v>100</v>
      </c>
      <c r="E103" s="194"/>
      <c r="F103" s="209" t="str">
        <f t="shared" ca="1" si="67"/>
        <v/>
      </c>
      <c r="G103" s="196" t="str">
        <f t="shared" ca="1" si="68"/>
        <v/>
      </c>
      <c r="H103" s="215" t="str">
        <f t="shared" ca="1" si="69"/>
        <v/>
      </c>
      <c r="I103" s="197"/>
      <c r="J103" s="171" t="b">
        <v>0</v>
      </c>
      <c r="K103" s="213">
        <f t="shared" si="72"/>
        <v>0</v>
      </c>
    </row>
    <row r="104" spans="1:13" x14ac:dyDescent="0.2">
      <c r="C104" s="194">
        <f t="shared" si="70"/>
        <v>101</v>
      </c>
      <c r="D104" s="194">
        <f t="shared" si="71"/>
        <v>101</v>
      </c>
      <c r="E104" s="194"/>
      <c r="F104" s="209" t="str">
        <f t="shared" ca="1" si="67"/>
        <v/>
      </c>
      <c r="G104" s="196" t="str">
        <f t="shared" ca="1" si="68"/>
        <v/>
      </c>
      <c r="H104" s="215" t="str">
        <f t="shared" ca="1" si="69"/>
        <v/>
      </c>
      <c r="I104" s="197"/>
      <c r="J104" s="171" t="b">
        <v>0</v>
      </c>
      <c r="K104" s="213">
        <f t="shared" si="72"/>
        <v>0</v>
      </c>
    </row>
    <row r="105" spans="1:13" x14ac:dyDescent="0.2">
      <c r="C105" s="194">
        <f t="shared" si="70"/>
        <v>102</v>
      </c>
      <c r="D105" s="194">
        <f t="shared" si="71"/>
        <v>102</v>
      </c>
      <c r="E105" s="194"/>
      <c r="F105" s="209" t="str">
        <f t="shared" ca="1" si="67"/>
        <v/>
      </c>
      <c r="G105" s="196" t="str">
        <f t="shared" ca="1" si="68"/>
        <v/>
      </c>
      <c r="H105" s="215" t="str">
        <f t="shared" ca="1" si="69"/>
        <v/>
      </c>
      <c r="I105" s="197"/>
      <c r="J105" s="171" t="b">
        <v>0</v>
      </c>
      <c r="K105" s="213">
        <f t="shared" si="72"/>
        <v>0</v>
      </c>
    </row>
    <row r="106" spans="1:13" x14ac:dyDescent="0.2">
      <c r="C106" s="194">
        <f t="shared" si="70"/>
        <v>103</v>
      </c>
      <c r="D106" s="194">
        <f t="shared" si="71"/>
        <v>103</v>
      </c>
      <c r="E106" s="194"/>
      <c r="F106" s="209" t="str">
        <f t="shared" ca="1" si="67"/>
        <v/>
      </c>
      <c r="G106" s="196" t="str">
        <f t="shared" ca="1" si="68"/>
        <v/>
      </c>
      <c r="H106" s="215" t="str">
        <f t="shared" ca="1" si="69"/>
        <v/>
      </c>
      <c r="I106" s="197"/>
      <c r="J106" s="171" t="b">
        <v>0</v>
      </c>
      <c r="K106" s="213">
        <f t="shared" si="72"/>
        <v>0</v>
      </c>
    </row>
    <row r="107" spans="1:13" x14ac:dyDescent="0.2">
      <c r="C107" s="198">
        <f t="shared" ref="C107" si="73">C106+1</f>
        <v>104</v>
      </c>
      <c r="D107" s="198">
        <f t="shared" si="71"/>
        <v>104</v>
      </c>
      <c r="E107" s="198"/>
      <c r="F107" s="210" t="str">
        <f t="shared" ca="1" si="67"/>
        <v/>
      </c>
      <c r="G107" s="200" t="str">
        <f t="shared" ca="1" si="68"/>
        <v/>
      </c>
      <c r="H107" s="216" t="str">
        <f t="shared" ca="1" si="69"/>
        <v/>
      </c>
      <c r="I107" s="201" t="s">
        <v>56</v>
      </c>
      <c r="J107" s="217" t="s">
        <v>111</v>
      </c>
      <c r="K107" s="218">
        <f ca="1">SUM(K98:K106)</f>
        <v>1</v>
      </c>
    </row>
    <row r="109" spans="1:13" x14ac:dyDescent="0.2">
      <c r="A109" s="184">
        <v>10</v>
      </c>
      <c r="B109" s="185" t="str">
        <f>'Date Drivers'!$B$105</f>
        <v>Secondary Functions</v>
      </c>
      <c r="C109" s="185" t="s">
        <v>255</v>
      </c>
      <c r="D109" s="186"/>
      <c r="E109" s="207">
        <v>1</v>
      </c>
      <c r="F109" s="202" t="str">
        <f ca="1">VLOOKUP($E$109,$E$110:$I$119,2,FALSE)</f>
        <v>Standard Issue</v>
      </c>
      <c r="G109" s="188">
        <f ca="1">VLOOKUP($E$109,$E$110:$I$119,3,FALSE)</f>
        <v>1</v>
      </c>
      <c r="H109" s="189">
        <f ca="1">VLOOKUP($E$109,$E$110:$I$119,4,FALSE)</f>
        <v>0</v>
      </c>
      <c r="I109" s="189" t="str">
        <f ca="1">VLOOKUP($E$109,$E$110:$I$119,5,FALSE)</f>
        <v>Y</v>
      </c>
      <c r="M109" s="171" t="s">
        <v>112</v>
      </c>
    </row>
    <row r="110" spans="1:13" x14ac:dyDescent="0.2">
      <c r="C110" s="190">
        <f>MATCH(A109,'Date Drivers'!$A:$A,0)</f>
        <v>105</v>
      </c>
      <c r="D110" s="190">
        <f>MATCH(A109,'Date Drivers'!A:A,0)</f>
        <v>105</v>
      </c>
      <c r="E110" s="190">
        <v>1</v>
      </c>
      <c r="F110" s="208" t="str">
        <f t="shared" ref="F110:F119" ca="1" si="74">IF(INDEX(INDIRECT($L$1&amp;":"&amp;$L$2),D110,1)=0,"",INDEX(INDIRECT($L$1&amp;":"&amp;$L$2),D110,1))</f>
        <v>Standard Issue</v>
      </c>
      <c r="G110" s="192">
        <f t="shared" ref="G110:G119" ca="1" si="75">IF(INDEX(INDIRECT($L$1&amp;":"&amp;$L$2),D110,1)=0,"",INDEX(INDIRECT($L$1&amp;":"&amp;$L$2),D110,2))</f>
        <v>1</v>
      </c>
      <c r="H110" s="193">
        <f t="shared" ref="H110:H119" ca="1" si="76">IF(INDEX(INDIRECT($L$1&amp;":"&amp;$L$2),D110,1)=0,"",INDEX(INDIRECT($L$1&amp;":"&amp;$L$2),D110,3))</f>
        <v>0</v>
      </c>
      <c r="I110" s="193" t="str">
        <f t="shared" ref="I110" ca="1" si="77">IF(INDEX(INDIRECT($L$1&amp;":"&amp;$L$2),D110,1)=0,"",INDEX(INDIRECT($L$1&amp;":"&amp;$L$2),D110,4))</f>
        <v>Y</v>
      </c>
      <c r="J110" s="171" t="b">
        <v>0</v>
      </c>
      <c r="K110" s="213">
        <f>IF(J110,G110,0)</f>
        <v>0</v>
      </c>
      <c r="M110" s="214" t="e">
        <f>VLOOKUP($K$110*1,$E$110:$F$119,2,FALSE)</f>
        <v>#N/A</v>
      </c>
    </row>
    <row r="111" spans="1:13" x14ac:dyDescent="0.2">
      <c r="C111" s="194">
        <f t="shared" ref="C111:C118" si="78">C110+1</f>
        <v>106</v>
      </c>
      <c r="D111" s="194">
        <f t="shared" ref="D111:E111" si="79">D110+1</f>
        <v>106</v>
      </c>
      <c r="E111" s="194">
        <f t="shared" si="79"/>
        <v>2</v>
      </c>
      <c r="F111" s="209" t="str">
        <f t="shared" ca="1" si="74"/>
        <v/>
      </c>
      <c r="G111" s="196" t="str">
        <f t="shared" ca="1" si="75"/>
        <v/>
      </c>
      <c r="H111" s="197" t="str">
        <f t="shared" ca="1" si="76"/>
        <v/>
      </c>
      <c r="I111" s="197"/>
      <c r="J111" s="171" t="b">
        <v>0</v>
      </c>
      <c r="K111" s="213">
        <f t="shared" ref="K111:K118" si="80">IF(J111,G111,0)</f>
        <v>0</v>
      </c>
      <c r="M111" s="214" t="e">
        <f>VLOOKUP($K$111*1,$E$110:$F$119,2,FALSE)</f>
        <v>#N/A</v>
      </c>
    </row>
    <row r="112" spans="1:13" x14ac:dyDescent="0.2">
      <c r="C112" s="194">
        <f t="shared" si="78"/>
        <v>107</v>
      </c>
      <c r="D112" s="194">
        <f t="shared" ref="D112:E112" si="81">D111+1</f>
        <v>107</v>
      </c>
      <c r="E112" s="194">
        <f t="shared" si="81"/>
        <v>3</v>
      </c>
      <c r="F112" s="209" t="str">
        <f t="shared" ca="1" si="74"/>
        <v/>
      </c>
      <c r="G112" s="196" t="str">
        <f t="shared" ca="1" si="75"/>
        <v/>
      </c>
      <c r="H112" s="197" t="str">
        <f t="shared" ca="1" si="76"/>
        <v/>
      </c>
      <c r="I112" s="197"/>
      <c r="J112" s="171" t="b">
        <v>0</v>
      </c>
      <c r="K112" s="213">
        <f t="shared" si="80"/>
        <v>0</v>
      </c>
      <c r="M112" s="214" t="e">
        <f>VLOOKUP($K$112*1,$E$110:$F$119,2,FALSE)</f>
        <v>#N/A</v>
      </c>
    </row>
    <row r="113" spans="1:11" x14ac:dyDescent="0.2">
      <c r="C113" s="194">
        <f t="shared" si="78"/>
        <v>108</v>
      </c>
      <c r="D113" s="194">
        <f t="shared" ref="D113:E113" si="82">D112+1</f>
        <v>108</v>
      </c>
      <c r="E113" s="194">
        <f t="shared" si="82"/>
        <v>4</v>
      </c>
      <c r="F113" s="209" t="str">
        <f t="shared" ca="1" si="74"/>
        <v/>
      </c>
      <c r="G113" s="196" t="str">
        <f t="shared" ca="1" si="75"/>
        <v/>
      </c>
      <c r="H113" s="197" t="str">
        <f t="shared" ca="1" si="76"/>
        <v/>
      </c>
      <c r="I113" s="197"/>
      <c r="J113" s="171" t="b">
        <v>0</v>
      </c>
      <c r="K113" s="213">
        <f t="shared" si="80"/>
        <v>0</v>
      </c>
    </row>
    <row r="114" spans="1:11" x14ac:dyDescent="0.2">
      <c r="C114" s="194">
        <f t="shared" si="78"/>
        <v>109</v>
      </c>
      <c r="D114" s="194">
        <f t="shared" ref="D114:E114" si="83">D113+1</f>
        <v>109</v>
      </c>
      <c r="E114" s="194">
        <f t="shared" si="83"/>
        <v>5</v>
      </c>
      <c r="F114" s="209" t="str">
        <f t="shared" ca="1" si="74"/>
        <v/>
      </c>
      <c r="G114" s="196" t="str">
        <f t="shared" ca="1" si="75"/>
        <v/>
      </c>
      <c r="H114" s="197" t="str">
        <f t="shared" ca="1" si="76"/>
        <v/>
      </c>
      <c r="I114" s="197"/>
      <c r="J114" s="171" t="b">
        <v>0</v>
      </c>
      <c r="K114" s="213">
        <f t="shared" si="80"/>
        <v>0</v>
      </c>
    </row>
    <row r="115" spans="1:11" x14ac:dyDescent="0.2">
      <c r="C115" s="194">
        <f t="shared" si="78"/>
        <v>110</v>
      </c>
      <c r="D115" s="194">
        <f t="shared" ref="D115:E115" si="84">D114+1</f>
        <v>110</v>
      </c>
      <c r="E115" s="194">
        <f t="shared" si="84"/>
        <v>6</v>
      </c>
      <c r="F115" s="209" t="str">
        <f t="shared" ca="1" si="74"/>
        <v/>
      </c>
      <c r="G115" s="196" t="str">
        <f t="shared" ca="1" si="75"/>
        <v/>
      </c>
      <c r="H115" s="197" t="str">
        <f t="shared" ca="1" si="76"/>
        <v/>
      </c>
      <c r="I115" s="197"/>
      <c r="J115" s="171" t="b">
        <v>0</v>
      </c>
      <c r="K115" s="213">
        <f t="shared" si="80"/>
        <v>0</v>
      </c>
    </row>
    <row r="116" spans="1:11" x14ac:dyDescent="0.2">
      <c r="C116" s="194">
        <f t="shared" si="78"/>
        <v>111</v>
      </c>
      <c r="D116" s="194">
        <f t="shared" ref="D116:E116" si="85">D115+1</f>
        <v>111</v>
      </c>
      <c r="E116" s="194">
        <f t="shared" si="85"/>
        <v>7</v>
      </c>
      <c r="F116" s="209" t="str">
        <f t="shared" ca="1" si="74"/>
        <v/>
      </c>
      <c r="G116" s="196" t="str">
        <f t="shared" ca="1" si="75"/>
        <v/>
      </c>
      <c r="H116" s="197" t="str">
        <f t="shared" ca="1" si="76"/>
        <v/>
      </c>
      <c r="I116" s="197"/>
      <c r="J116" s="171" t="b">
        <v>0</v>
      </c>
      <c r="K116" s="213">
        <f t="shared" si="80"/>
        <v>0</v>
      </c>
    </row>
    <row r="117" spans="1:11" x14ac:dyDescent="0.2">
      <c r="C117" s="194">
        <f t="shared" si="78"/>
        <v>112</v>
      </c>
      <c r="D117" s="194">
        <f t="shared" ref="D117:E117" si="86">D116+1</f>
        <v>112</v>
      </c>
      <c r="E117" s="194">
        <f t="shared" si="86"/>
        <v>8</v>
      </c>
      <c r="F117" s="209" t="str">
        <f t="shared" ca="1" si="74"/>
        <v/>
      </c>
      <c r="G117" s="196" t="str">
        <f t="shared" ca="1" si="75"/>
        <v/>
      </c>
      <c r="H117" s="197" t="str">
        <f t="shared" ca="1" si="76"/>
        <v/>
      </c>
      <c r="I117" s="197"/>
      <c r="J117" s="171" t="b">
        <v>0</v>
      </c>
      <c r="K117" s="213">
        <f t="shared" si="80"/>
        <v>0</v>
      </c>
    </row>
    <row r="118" spans="1:11" x14ac:dyDescent="0.2">
      <c r="C118" s="194">
        <f t="shared" si="78"/>
        <v>113</v>
      </c>
      <c r="D118" s="194">
        <f t="shared" ref="D118:E118" si="87">D117+1</f>
        <v>113</v>
      </c>
      <c r="E118" s="194">
        <f t="shared" si="87"/>
        <v>9</v>
      </c>
      <c r="F118" s="209" t="str">
        <f t="shared" ca="1" si="74"/>
        <v/>
      </c>
      <c r="G118" s="196" t="str">
        <f t="shared" ca="1" si="75"/>
        <v/>
      </c>
      <c r="H118" s="197" t="str">
        <f t="shared" ca="1" si="76"/>
        <v/>
      </c>
      <c r="I118" s="197"/>
      <c r="J118" s="171" t="b">
        <v>0</v>
      </c>
      <c r="K118" s="213">
        <f t="shared" si="80"/>
        <v>0</v>
      </c>
    </row>
    <row r="119" spans="1:11" x14ac:dyDescent="0.2">
      <c r="C119" s="198">
        <f t="shared" ref="C119" si="88">C118+1</f>
        <v>114</v>
      </c>
      <c r="D119" s="198">
        <f t="shared" ref="D119:E119" si="89">D118+1</f>
        <v>114</v>
      </c>
      <c r="E119" s="198">
        <f t="shared" si="89"/>
        <v>10</v>
      </c>
      <c r="F119" s="210" t="str">
        <f t="shared" ca="1" si="74"/>
        <v/>
      </c>
      <c r="G119" s="200" t="str">
        <f t="shared" ca="1" si="75"/>
        <v/>
      </c>
      <c r="H119" s="201" t="str">
        <f t="shared" ca="1" si="76"/>
        <v/>
      </c>
      <c r="I119" s="201"/>
      <c r="J119" s="217" t="s">
        <v>111</v>
      </c>
      <c r="K119" s="218">
        <f>SUM(K110:K118)</f>
        <v>0</v>
      </c>
    </row>
    <row r="121" spans="1:11" x14ac:dyDescent="0.2">
      <c r="A121" s="184">
        <v>11</v>
      </c>
      <c r="B121" s="185" t="str">
        <f>'Date Drivers'!$B$115</f>
        <v>Firmware Version</v>
      </c>
      <c r="C121" s="185" t="s">
        <v>255</v>
      </c>
      <c r="D121" s="186"/>
      <c r="E121" s="207">
        <v>1</v>
      </c>
      <c r="F121" s="202" t="str">
        <f ca="1">VLOOKUP($E$121,$E$122:$I$131,2,FALSE)</f>
        <v>Latest available firmware - 02</v>
      </c>
      <c r="G121" s="188" t="str">
        <f ca="1">VLOOKUP($E$121,$E$122:$I$131,3,FALSE)</f>
        <v>02</v>
      </c>
      <c r="H121" s="189">
        <f ca="1">VLOOKUP($E$121,$E$122:$I$131,4,FALSE)</f>
        <v>0</v>
      </c>
      <c r="I121" s="189" t="str">
        <f ca="1">VLOOKUP($E$121,$E$122:$I$131,5,FALSE)</f>
        <v>Y</v>
      </c>
    </row>
    <row r="122" spans="1:11" x14ac:dyDescent="0.2">
      <c r="C122" s="190">
        <f>MATCH(A121,'Date Drivers'!$A:$A,0)</f>
        <v>115</v>
      </c>
      <c r="D122" s="190">
        <f>MATCH(A121,'Date Drivers'!A:A,0)</f>
        <v>115</v>
      </c>
      <c r="E122" s="190">
        <v>1</v>
      </c>
      <c r="F122" s="208" t="str">
        <f t="shared" ref="F122:F131" ca="1" si="90">IF(INDEX(INDIRECT($L$1&amp;":"&amp;$L$2),D122,1)=0,"",INDEX(INDIRECT($L$1&amp;":"&amp;$L$2),D122,1))</f>
        <v>Latest available firmware - 02</v>
      </c>
      <c r="G122" s="192" t="str">
        <f t="shared" ref="G122:G131" ca="1" si="91">IF(INDEX(INDIRECT($L$1&amp;":"&amp;$L$2),D122,1)=0,"",INDEX(INDIRECT($L$1&amp;":"&amp;$L$2),D122,2))</f>
        <v>02</v>
      </c>
      <c r="H122" s="193">
        <f t="shared" ref="H122:H131" ca="1" si="92">IF(INDEX(INDIRECT($L$1&amp;":"&amp;$L$2),D122,1)=0,"",INDEX(INDIRECT($L$1&amp;":"&amp;$L$2),D122,3))</f>
        <v>0</v>
      </c>
      <c r="I122" s="193" t="str">
        <f t="shared" ref="I122" ca="1" si="93">IF(INDEX(INDIRECT($L$1&amp;":"&amp;$L$2),D122,1)=0,"",INDEX(INDIRECT($L$1&amp;":"&amp;$L$2),D122,4))</f>
        <v>Y</v>
      </c>
    </row>
    <row r="123" spans="1:11" x14ac:dyDescent="0.2">
      <c r="C123" s="194">
        <f t="shared" ref="C123:C130" si="94">C122+1</f>
        <v>116</v>
      </c>
      <c r="D123" s="194">
        <f t="shared" ref="D123:E123" si="95">D122+1</f>
        <v>116</v>
      </c>
      <c r="E123" s="194">
        <f t="shared" si="95"/>
        <v>2</v>
      </c>
      <c r="F123" s="209" t="str">
        <f t="shared" ca="1" si="90"/>
        <v/>
      </c>
      <c r="G123" s="196" t="str">
        <f t="shared" ca="1" si="91"/>
        <v/>
      </c>
      <c r="H123" s="197" t="str">
        <f t="shared" ca="1" si="92"/>
        <v/>
      </c>
      <c r="I123" s="197"/>
    </row>
    <row r="124" spans="1:11" x14ac:dyDescent="0.2">
      <c r="C124" s="194">
        <f t="shared" si="94"/>
        <v>117</v>
      </c>
      <c r="D124" s="194">
        <f t="shared" ref="D124:E124" si="96">D123+1</f>
        <v>117</v>
      </c>
      <c r="E124" s="194">
        <f t="shared" si="96"/>
        <v>3</v>
      </c>
      <c r="F124" s="209" t="str">
        <f t="shared" ca="1" si="90"/>
        <v/>
      </c>
      <c r="G124" s="196" t="str">
        <f t="shared" ca="1" si="91"/>
        <v/>
      </c>
      <c r="H124" s="197" t="str">
        <f t="shared" ca="1" si="92"/>
        <v/>
      </c>
      <c r="I124" s="197"/>
    </row>
    <row r="125" spans="1:11" x14ac:dyDescent="0.2">
      <c r="C125" s="194">
        <f t="shared" si="94"/>
        <v>118</v>
      </c>
      <c r="D125" s="194">
        <f t="shared" ref="D125:E125" si="97">D124+1</f>
        <v>118</v>
      </c>
      <c r="E125" s="194">
        <f t="shared" si="97"/>
        <v>4</v>
      </c>
      <c r="F125" s="209" t="str">
        <f t="shared" ca="1" si="90"/>
        <v/>
      </c>
      <c r="G125" s="196" t="str">
        <f t="shared" ca="1" si="91"/>
        <v/>
      </c>
      <c r="H125" s="197" t="str">
        <f t="shared" ca="1" si="92"/>
        <v/>
      </c>
      <c r="I125" s="197"/>
    </row>
    <row r="126" spans="1:11" x14ac:dyDescent="0.2">
      <c r="C126" s="194">
        <f t="shared" si="94"/>
        <v>119</v>
      </c>
      <c r="D126" s="194">
        <f t="shared" ref="D126:E126" si="98">D125+1</f>
        <v>119</v>
      </c>
      <c r="E126" s="194">
        <f t="shared" si="98"/>
        <v>5</v>
      </c>
      <c r="F126" s="209" t="str">
        <f t="shared" ca="1" si="90"/>
        <v/>
      </c>
      <c r="G126" s="196" t="str">
        <f t="shared" ca="1" si="91"/>
        <v/>
      </c>
      <c r="H126" s="197" t="str">
        <f t="shared" ca="1" si="92"/>
        <v/>
      </c>
      <c r="I126" s="197"/>
    </row>
    <row r="127" spans="1:11" x14ac:dyDescent="0.2">
      <c r="C127" s="194">
        <f t="shared" si="94"/>
        <v>120</v>
      </c>
      <c r="D127" s="194">
        <f t="shared" ref="D127:E127" si="99">D126+1</f>
        <v>120</v>
      </c>
      <c r="E127" s="194">
        <f t="shared" si="99"/>
        <v>6</v>
      </c>
      <c r="F127" s="209" t="str">
        <f t="shared" ca="1" si="90"/>
        <v/>
      </c>
      <c r="G127" s="196" t="str">
        <f t="shared" ca="1" si="91"/>
        <v/>
      </c>
      <c r="H127" s="197" t="str">
        <f t="shared" ca="1" si="92"/>
        <v/>
      </c>
      <c r="I127" s="197"/>
    </row>
    <row r="128" spans="1:11" x14ac:dyDescent="0.2">
      <c r="C128" s="194">
        <f t="shared" si="94"/>
        <v>121</v>
      </c>
      <c r="D128" s="194">
        <f t="shared" ref="D128:E128" si="100">D127+1</f>
        <v>121</v>
      </c>
      <c r="E128" s="194">
        <f t="shared" si="100"/>
        <v>7</v>
      </c>
      <c r="F128" s="209" t="str">
        <f t="shared" ca="1" si="90"/>
        <v/>
      </c>
      <c r="G128" s="196" t="str">
        <f t="shared" ca="1" si="91"/>
        <v/>
      </c>
      <c r="H128" s="197" t="str">
        <f t="shared" ca="1" si="92"/>
        <v/>
      </c>
      <c r="I128" s="197"/>
    </row>
    <row r="129" spans="1:9" x14ac:dyDescent="0.2">
      <c r="C129" s="194">
        <f t="shared" si="94"/>
        <v>122</v>
      </c>
      <c r="D129" s="194">
        <f t="shared" ref="D129:E129" si="101">D128+1</f>
        <v>122</v>
      </c>
      <c r="E129" s="194">
        <f t="shared" si="101"/>
        <v>8</v>
      </c>
      <c r="F129" s="209" t="str">
        <f t="shared" ca="1" si="90"/>
        <v/>
      </c>
      <c r="G129" s="196" t="str">
        <f t="shared" ca="1" si="91"/>
        <v/>
      </c>
      <c r="H129" s="197" t="str">
        <f t="shared" ca="1" si="92"/>
        <v/>
      </c>
      <c r="I129" s="197"/>
    </row>
    <row r="130" spans="1:9" x14ac:dyDescent="0.2">
      <c r="C130" s="194">
        <f t="shared" si="94"/>
        <v>123</v>
      </c>
      <c r="D130" s="194">
        <f t="shared" ref="D130:E130" si="102">D129+1</f>
        <v>123</v>
      </c>
      <c r="E130" s="194">
        <f t="shared" si="102"/>
        <v>9</v>
      </c>
      <c r="F130" s="209" t="str">
        <f t="shared" ca="1" si="90"/>
        <v/>
      </c>
      <c r="G130" s="196" t="str">
        <f t="shared" ca="1" si="91"/>
        <v/>
      </c>
      <c r="H130" s="197" t="str">
        <f t="shared" ca="1" si="92"/>
        <v/>
      </c>
      <c r="I130" s="197"/>
    </row>
    <row r="131" spans="1:9" x14ac:dyDescent="0.2">
      <c r="C131" s="198">
        <f t="shared" ref="C131" si="103">C130+1</f>
        <v>124</v>
      </c>
      <c r="D131" s="198">
        <f t="shared" ref="D131:E131" si="104">D130+1</f>
        <v>124</v>
      </c>
      <c r="E131" s="198">
        <f t="shared" si="104"/>
        <v>10</v>
      </c>
      <c r="F131" s="210" t="str">
        <f t="shared" ca="1" si="90"/>
        <v/>
      </c>
      <c r="G131" s="200" t="str">
        <f t="shared" ca="1" si="91"/>
        <v/>
      </c>
      <c r="H131" s="201" t="str">
        <f t="shared" ca="1" si="92"/>
        <v/>
      </c>
      <c r="I131" s="201"/>
    </row>
    <row r="133" spans="1:9" x14ac:dyDescent="0.2">
      <c r="A133" s="184">
        <v>12</v>
      </c>
      <c r="B133" s="185" t="str">
        <f>'Date Drivers'!$B$125</f>
        <v>Warranty</v>
      </c>
      <c r="C133" s="185" t="s">
        <v>255</v>
      </c>
      <c r="D133" s="186"/>
      <c r="E133" s="207">
        <v>1</v>
      </c>
      <c r="F133" s="202" t="str">
        <f ca="1">VLOOKUP($E$133,$E$134:$I$143,2,FALSE)</f>
        <v>Standard warranty</v>
      </c>
      <c r="G133" s="188">
        <f ca="1">VLOOKUP($E$133,$E$134:$I$143,3,FALSE)</f>
        <v>0</v>
      </c>
      <c r="H133" s="189">
        <f ca="1">VLOOKUP($E$133,$E$134:$I$143,4,FALSE)</f>
        <v>0</v>
      </c>
      <c r="I133" s="189" t="str">
        <f ca="1">VLOOKUP($E$133,$E$134:$I$143,5,FALSE)</f>
        <v>Y</v>
      </c>
    </row>
    <row r="134" spans="1:9" x14ac:dyDescent="0.2">
      <c r="C134" s="190">
        <f>MATCH(A133,'Date Drivers'!$A:$A,0)</f>
        <v>125</v>
      </c>
      <c r="D134" s="190">
        <f>MATCH(A133,'Date Drivers'!A:A,0)</f>
        <v>125</v>
      </c>
      <c r="E134" s="190">
        <v>1</v>
      </c>
      <c r="F134" s="208" t="str">
        <f t="shared" ref="F134:F143" ca="1" si="105">IF(INDEX(INDIRECT($L$1&amp;":"&amp;$L$2),D134,1)=0,"",INDEX(INDIRECT($L$1&amp;":"&amp;$L$2),D134,1))</f>
        <v>Standard warranty</v>
      </c>
      <c r="G134" s="192">
        <f t="shared" ref="G134:G143" ca="1" si="106">IF(INDEX(INDIRECT($L$1&amp;":"&amp;$L$2),D134,1)=0,"",INDEX(INDIRECT($L$1&amp;":"&amp;$L$2),D134,2))</f>
        <v>0</v>
      </c>
      <c r="H134" s="193">
        <f t="shared" ref="H134:H143" ca="1" si="107">IF(INDEX(INDIRECT($L$1&amp;":"&amp;$L$2),D134,1)=0,"",INDEX(INDIRECT($L$1&amp;":"&amp;$L$2),D134,3))</f>
        <v>0</v>
      </c>
      <c r="I134" s="193" t="str">
        <f t="shared" ref="I134" ca="1" si="108">IF(INDEX(INDIRECT($L$1&amp;":"&amp;$L$2),D134,1)=0,"",INDEX(INDIRECT($L$1&amp;":"&amp;$L$2),D134,4))</f>
        <v>Y</v>
      </c>
    </row>
    <row r="135" spans="1:9" x14ac:dyDescent="0.2">
      <c r="C135" s="194">
        <f t="shared" ref="C135:C142" si="109">C134+1</f>
        <v>126</v>
      </c>
      <c r="D135" s="194">
        <f t="shared" ref="D135:E135" si="110">D134+1</f>
        <v>126</v>
      </c>
      <c r="E135" s="194">
        <f t="shared" si="110"/>
        <v>2</v>
      </c>
      <c r="F135" s="209" t="str">
        <f t="shared" ca="1" si="105"/>
        <v/>
      </c>
      <c r="G135" s="196" t="str">
        <f t="shared" ca="1" si="106"/>
        <v/>
      </c>
      <c r="H135" s="197" t="str">
        <f t="shared" ca="1" si="107"/>
        <v/>
      </c>
      <c r="I135" s="197"/>
    </row>
    <row r="136" spans="1:9" x14ac:dyDescent="0.2">
      <c r="C136" s="194">
        <f t="shared" si="109"/>
        <v>127</v>
      </c>
      <c r="D136" s="194">
        <f t="shared" ref="D136:E136" si="111">D135+1</f>
        <v>127</v>
      </c>
      <c r="E136" s="194">
        <f t="shared" si="111"/>
        <v>3</v>
      </c>
      <c r="F136" s="209" t="str">
        <f t="shared" ca="1" si="105"/>
        <v/>
      </c>
      <c r="G136" s="196" t="str">
        <f t="shared" ca="1" si="106"/>
        <v/>
      </c>
      <c r="H136" s="197" t="str">
        <f t="shared" ca="1" si="107"/>
        <v/>
      </c>
      <c r="I136" s="197"/>
    </row>
    <row r="137" spans="1:9" x14ac:dyDescent="0.2">
      <c r="C137" s="194">
        <f t="shared" si="109"/>
        <v>128</v>
      </c>
      <c r="D137" s="194">
        <f t="shared" ref="D137:E137" si="112">D136+1</f>
        <v>128</v>
      </c>
      <c r="E137" s="194">
        <f t="shared" si="112"/>
        <v>4</v>
      </c>
      <c r="F137" s="209" t="str">
        <f t="shared" ca="1" si="105"/>
        <v/>
      </c>
      <c r="G137" s="196" t="str">
        <f t="shared" ca="1" si="106"/>
        <v/>
      </c>
      <c r="H137" s="197" t="str">
        <f t="shared" ca="1" si="107"/>
        <v/>
      </c>
      <c r="I137" s="197"/>
    </row>
    <row r="138" spans="1:9" x14ac:dyDescent="0.2">
      <c r="C138" s="194">
        <f t="shared" si="109"/>
        <v>129</v>
      </c>
      <c r="D138" s="194">
        <f t="shared" ref="D138:E138" si="113">D137+1</f>
        <v>129</v>
      </c>
      <c r="E138" s="194">
        <f t="shared" si="113"/>
        <v>5</v>
      </c>
      <c r="F138" s="209" t="str">
        <f t="shared" ca="1" si="105"/>
        <v/>
      </c>
      <c r="G138" s="196" t="str">
        <f t="shared" ca="1" si="106"/>
        <v/>
      </c>
      <c r="H138" s="197" t="str">
        <f t="shared" ca="1" si="107"/>
        <v/>
      </c>
      <c r="I138" s="197"/>
    </row>
    <row r="139" spans="1:9" x14ac:dyDescent="0.2">
      <c r="C139" s="194">
        <f t="shared" si="109"/>
        <v>130</v>
      </c>
      <c r="D139" s="194">
        <f t="shared" ref="D139:E139" si="114">D138+1</f>
        <v>130</v>
      </c>
      <c r="E139" s="194">
        <f t="shared" si="114"/>
        <v>6</v>
      </c>
      <c r="F139" s="209" t="str">
        <f t="shared" ca="1" si="105"/>
        <v/>
      </c>
      <c r="G139" s="196" t="str">
        <f t="shared" ca="1" si="106"/>
        <v/>
      </c>
      <c r="H139" s="197" t="str">
        <f t="shared" ca="1" si="107"/>
        <v/>
      </c>
      <c r="I139" s="197"/>
    </row>
    <row r="140" spans="1:9" x14ac:dyDescent="0.2">
      <c r="C140" s="194">
        <f t="shared" si="109"/>
        <v>131</v>
      </c>
      <c r="D140" s="194">
        <f t="shared" ref="D140:E140" si="115">D139+1</f>
        <v>131</v>
      </c>
      <c r="E140" s="194">
        <f t="shared" si="115"/>
        <v>7</v>
      </c>
      <c r="F140" s="209" t="str">
        <f t="shared" ca="1" si="105"/>
        <v/>
      </c>
      <c r="G140" s="196" t="str">
        <f t="shared" ca="1" si="106"/>
        <v/>
      </c>
      <c r="H140" s="197" t="str">
        <f t="shared" ca="1" si="107"/>
        <v/>
      </c>
      <c r="I140" s="197"/>
    </row>
    <row r="141" spans="1:9" x14ac:dyDescent="0.2">
      <c r="C141" s="194">
        <f t="shared" si="109"/>
        <v>132</v>
      </c>
      <c r="D141" s="194">
        <f t="shared" ref="D141:E141" si="116">D140+1</f>
        <v>132</v>
      </c>
      <c r="E141" s="194">
        <f t="shared" si="116"/>
        <v>8</v>
      </c>
      <c r="F141" s="209" t="str">
        <f t="shared" ca="1" si="105"/>
        <v/>
      </c>
      <c r="G141" s="196" t="str">
        <f t="shared" ca="1" si="106"/>
        <v/>
      </c>
      <c r="H141" s="197" t="str">
        <f t="shared" ca="1" si="107"/>
        <v/>
      </c>
      <c r="I141" s="197"/>
    </row>
    <row r="142" spans="1:9" x14ac:dyDescent="0.2">
      <c r="C142" s="194">
        <f t="shared" si="109"/>
        <v>133</v>
      </c>
      <c r="D142" s="194">
        <f t="shared" ref="D142:E142" si="117">D141+1</f>
        <v>133</v>
      </c>
      <c r="E142" s="194">
        <f t="shared" si="117"/>
        <v>9</v>
      </c>
      <c r="F142" s="209" t="str">
        <f t="shared" ca="1" si="105"/>
        <v/>
      </c>
      <c r="G142" s="196" t="str">
        <f t="shared" ca="1" si="106"/>
        <v/>
      </c>
      <c r="H142" s="197" t="str">
        <f t="shared" ca="1" si="107"/>
        <v/>
      </c>
      <c r="I142" s="197"/>
    </row>
    <row r="143" spans="1:9" x14ac:dyDescent="0.2">
      <c r="C143" s="198">
        <f t="shared" ref="C143" si="118">C142+1</f>
        <v>134</v>
      </c>
      <c r="D143" s="198">
        <f t="shared" ref="D143:E143" si="119">D142+1</f>
        <v>134</v>
      </c>
      <c r="E143" s="198">
        <f t="shared" si="119"/>
        <v>10</v>
      </c>
      <c r="F143" s="210" t="str">
        <f t="shared" ca="1" si="105"/>
        <v/>
      </c>
      <c r="G143" s="200" t="str">
        <f t="shared" ca="1" si="106"/>
        <v/>
      </c>
      <c r="H143" s="201" t="str">
        <f t="shared" ca="1" si="107"/>
        <v/>
      </c>
      <c r="I143" s="201"/>
    </row>
    <row r="145" spans="1:9" x14ac:dyDescent="0.2">
      <c r="A145" s="184">
        <v>13</v>
      </c>
      <c r="B145" s="185" t="str">
        <f>'Date Drivers'!$B$135</f>
        <v>Hardware Design Suffix</v>
      </c>
      <c r="C145" s="185" t="s">
        <v>255</v>
      </c>
      <c r="D145" s="186"/>
      <c r="E145" s="207">
        <v>1</v>
      </c>
      <c r="F145" s="202" t="str">
        <f ca="1">VLOOKUP($E$145,$E$146:$I$155,2,FALSE)</f>
        <v>Hardware Version B</v>
      </c>
      <c r="G145" s="188" t="str">
        <f ca="1">VLOOKUP($E$145,$E$146:$I$155,3,FALSE)</f>
        <v>B</v>
      </c>
      <c r="H145" s="189">
        <f ca="1">VLOOKUP($E$145,$E$146:$I$155,4,FALSE)</f>
        <v>0</v>
      </c>
      <c r="I145" s="189" t="str">
        <f ca="1">VLOOKUP($E$145,$E$146:$I$155,5,FALSE)</f>
        <v>Y</v>
      </c>
    </row>
    <row r="146" spans="1:9" x14ac:dyDescent="0.2">
      <c r="C146" s="190">
        <f>MATCH(A145,'Date Drivers'!$A:$A,0)</f>
        <v>135</v>
      </c>
      <c r="D146" s="190">
        <f>MATCH(A145,'Date Drivers'!A:A,0)</f>
        <v>135</v>
      </c>
      <c r="E146" s="190">
        <v>1</v>
      </c>
      <c r="F146" s="208" t="str">
        <f t="shared" ref="F146:F155" ca="1" si="120">IF(INDEX(INDIRECT($L$1&amp;":"&amp;$L$2),D146,1)=0,"",INDEX(INDIRECT($L$1&amp;":"&amp;$L$2),D146,1))</f>
        <v>Hardware Version B</v>
      </c>
      <c r="G146" s="192" t="str">
        <f t="shared" ref="G146:G155" ca="1" si="121">IF(INDEX(INDIRECT($L$1&amp;":"&amp;$L$2),D146,1)=0,"",INDEX(INDIRECT($L$1&amp;":"&amp;$L$2),D146,2))</f>
        <v>B</v>
      </c>
      <c r="H146" s="193">
        <f t="shared" ref="H146:H155" ca="1" si="122">IF(INDEX(INDIRECT($L$1&amp;":"&amp;$L$2),D146,1)=0,"",INDEX(INDIRECT($L$1&amp;":"&amp;$L$2),D146,3))</f>
        <v>0</v>
      </c>
      <c r="I146" s="193" t="str">
        <f t="shared" ref="I146" ca="1" si="123">IF(INDEX(INDIRECT($L$1&amp;":"&amp;$L$2),D146,1)=0,"",INDEX(INDIRECT($L$1&amp;":"&amp;$L$2),D146,4))</f>
        <v>Y</v>
      </c>
    </row>
    <row r="147" spans="1:9" x14ac:dyDescent="0.2">
      <c r="C147" s="194">
        <f t="shared" ref="C147:C154" si="124">C146+1</f>
        <v>136</v>
      </c>
      <c r="D147" s="194">
        <f t="shared" ref="D147:E147" si="125">D146+1</f>
        <v>136</v>
      </c>
      <c r="E147" s="194">
        <f t="shared" si="125"/>
        <v>2</v>
      </c>
      <c r="F147" s="209" t="str">
        <f t="shared" ca="1" si="120"/>
        <v/>
      </c>
      <c r="G147" s="196" t="str">
        <f t="shared" ca="1" si="121"/>
        <v/>
      </c>
      <c r="H147" s="197" t="str">
        <f t="shared" ca="1" si="122"/>
        <v/>
      </c>
      <c r="I147" s="197" t="str">
        <f ca="1">IF(INDEX(INDIRECT($L$1&amp;":"&amp;$L$2),D7,1)=0,"",INDEX(INDIRECT($L$1&amp;":"&amp;$L$2),D7,4))</f>
        <v/>
      </c>
    </row>
    <row r="148" spans="1:9" x14ac:dyDescent="0.2">
      <c r="C148" s="194">
        <f t="shared" si="124"/>
        <v>137</v>
      </c>
      <c r="D148" s="194">
        <f t="shared" ref="D148:E148" si="126">D147+1</f>
        <v>137</v>
      </c>
      <c r="E148" s="194">
        <f t="shared" si="126"/>
        <v>3</v>
      </c>
      <c r="F148" s="209" t="str">
        <f t="shared" ca="1" si="120"/>
        <v/>
      </c>
      <c r="G148" s="196" t="str">
        <f t="shared" ca="1" si="121"/>
        <v/>
      </c>
      <c r="H148" s="197" t="str">
        <f t="shared" ca="1" si="122"/>
        <v/>
      </c>
      <c r="I148" s="197"/>
    </row>
    <row r="149" spans="1:9" x14ac:dyDescent="0.2">
      <c r="C149" s="194">
        <f t="shared" si="124"/>
        <v>138</v>
      </c>
      <c r="D149" s="194">
        <f t="shared" ref="D149:E149" si="127">D148+1</f>
        <v>138</v>
      </c>
      <c r="E149" s="194">
        <f t="shared" si="127"/>
        <v>4</v>
      </c>
      <c r="F149" s="209" t="str">
        <f t="shared" ca="1" si="120"/>
        <v/>
      </c>
      <c r="G149" s="196" t="str">
        <f t="shared" ca="1" si="121"/>
        <v/>
      </c>
      <c r="H149" s="197" t="str">
        <f t="shared" ca="1" si="122"/>
        <v/>
      </c>
      <c r="I149" s="197"/>
    </row>
    <row r="150" spans="1:9" x14ac:dyDescent="0.2">
      <c r="C150" s="194">
        <f t="shared" si="124"/>
        <v>139</v>
      </c>
      <c r="D150" s="194">
        <f t="shared" ref="D150:E150" si="128">D149+1</f>
        <v>139</v>
      </c>
      <c r="E150" s="194">
        <f t="shared" si="128"/>
        <v>5</v>
      </c>
      <c r="F150" s="209" t="str">
        <f t="shared" ca="1" si="120"/>
        <v/>
      </c>
      <c r="G150" s="196" t="str">
        <f t="shared" ca="1" si="121"/>
        <v/>
      </c>
      <c r="H150" s="197" t="str">
        <f t="shared" ca="1" si="122"/>
        <v/>
      </c>
      <c r="I150" s="197"/>
    </row>
    <row r="151" spans="1:9" x14ac:dyDescent="0.2">
      <c r="C151" s="194">
        <f t="shared" si="124"/>
        <v>140</v>
      </c>
      <c r="D151" s="194">
        <f t="shared" ref="D151:E151" si="129">D150+1</f>
        <v>140</v>
      </c>
      <c r="E151" s="194">
        <f t="shared" si="129"/>
        <v>6</v>
      </c>
      <c r="F151" s="209" t="str">
        <f t="shared" ca="1" si="120"/>
        <v/>
      </c>
      <c r="G151" s="196" t="str">
        <f t="shared" ca="1" si="121"/>
        <v/>
      </c>
      <c r="H151" s="197" t="str">
        <f t="shared" ca="1" si="122"/>
        <v/>
      </c>
      <c r="I151" s="197"/>
    </row>
    <row r="152" spans="1:9" x14ac:dyDescent="0.2">
      <c r="C152" s="194">
        <f t="shared" si="124"/>
        <v>141</v>
      </c>
      <c r="D152" s="194">
        <f t="shared" ref="D152:E152" si="130">D151+1</f>
        <v>141</v>
      </c>
      <c r="E152" s="194">
        <f t="shared" si="130"/>
        <v>7</v>
      </c>
      <c r="F152" s="209" t="str">
        <f t="shared" ca="1" si="120"/>
        <v/>
      </c>
      <c r="G152" s="196" t="str">
        <f t="shared" ca="1" si="121"/>
        <v/>
      </c>
      <c r="H152" s="197" t="str">
        <f t="shared" ca="1" si="122"/>
        <v/>
      </c>
      <c r="I152" s="197"/>
    </row>
    <row r="153" spans="1:9" x14ac:dyDescent="0.2">
      <c r="C153" s="194">
        <f t="shared" si="124"/>
        <v>142</v>
      </c>
      <c r="D153" s="194">
        <f t="shared" ref="D153:E153" si="131">D152+1</f>
        <v>142</v>
      </c>
      <c r="E153" s="194">
        <f t="shared" si="131"/>
        <v>8</v>
      </c>
      <c r="F153" s="209" t="str">
        <f t="shared" ca="1" si="120"/>
        <v/>
      </c>
      <c r="G153" s="196" t="str">
        <f t="shared" ca="1" si="121"/>
        <v/>
      </c>
      <c r="H153" s="197" t="str">
        <f t="shared" ca="1" si="122"/>
        <v/>
      </c>
      <c r="I153" s="197"/>
    </row>
    <row r="154" spans="1:9" x14ac:dyDescent="0.2">
      <c r="C154" s="194">
        <f t="shared" si="124"/>
        <v>143</v>
      </c>
      <c r="D154" s="194">
        <f t="shared" ref="D154:E154" si="132">D153+1</f>
        <v>143</v>
      </c>
      <c r="E154" s="194">
        <f t="shared" si="132"/>
        <v>9</v>
      </c>
      <c r="F154" s="209" t="str">
        <f t="shared" ca="1" si="120"/>
        <v/>
      </c>
      <c r="G154" s="196" t="str">
        <f t="shared" ca="1" si="121"/>
        <v/>
      </c>
      <c r="H154" s="197" t="str">
        <f t="shared" ca="1" si="122"/>
        <v/>
      </c>
      <c r="I154" s="197"/>
    </row>
    <row r="155" spans="1:9" x14ac:dyDescent="0.2">
      <c r="C155" s="198">
        <f t="shared" ref="C155" si="133">C154+1</f>
        <v>144</v>
      </c>
      <c r="D155" s="198">
        <f t="shared" ref="D155:E155" si="134">D154+1</f>
        <v>144</v>
      </c>
      <c r="E155" s="198">
        <f t="shared" si="134"/>
        <v>10</v>
      </c>
      <c r="F155" s="210" t="str">
        <f t="shared" ca="1" si="120"/>
        <v/>
      </c>
      <c r="G155" s="200" t="str">
        <f t="shared" ca="1" si="121"/>
        <v/>
      </c>
      <c r="H155" s="201" t="str">
        <f t="shared" ca="1" si="122"/>
        <v/>
      </c>
      <c r="I155" s="201"/>
    </row>
  </sheetData>
  <phoneticPr fontId="18"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AG142"/>
  <sheetViews>
    <sheetView workbookViewId="0">
      <pane xSplit="2" ySplit="2" topLeftCell="Y96" activePane="bottomRight" state="frozen"/>
      <selection activeCell="T23" sqref="T23"/>
      <selection pane="topRight" activeCell="T23" sqref="T23"/>
      <selection pane="bottomLeft" activeCell="T23" sqref="T23"/>
      <selection pane="bottomRight" activeCell="AI138" sqref="AI138"/>
    </sheetView>
  </sheetViews>
  <sheetFormatPr defaultColWidth="9.140625" defaultRowHeight="12" x14ac:dyDescent="0.2"/>
  <cols>
    <col min="1" max="1" width="9.140625" style="97"/>
    <col min="2" max="2" width="34" style="3" bestFit="1" customWidth="1"/>
    <col min="3" max="3" width="72.5703125" style="93" bestFit="1" customWidth="1"/>
    <col min="4" max="7" width="10.7109375" style="93" customWidth="1"/>
    <col min="8" max="8" width="9.140625" style="3"/>
    <col min="9" max="9" width="68.85546875" style="3" bestFit="1" customWidth="1"/>
    <col min="10" max="14" width="9.140625" style="3"/>
    <col min="15" max="15" width="68.85546875" style="3" bestFit="1" customWidth="1"/>
    <col min="16" max="19" width="9.140625" style="3"/>
    <col min="20" max="20" width="68.85546875" style="3" bestFit="1" customWidth="1"/>
    <col min="21" max="24" width="9.140625" style="3"/>
    <col min="25" max="25" width="68.85546875" style="3" bestFit="1" customWidth="1"/>
    <col min="26" max="29" width="9.140625" style="3"/>
    <col min="30" max="30" width="68.85546875" style="3" bestFit="1" customWidth="1"/>
    <col min="31" max="16384" width="9.140625" style="3"/>
  </cols>
  <sheetData>
    <row r="1" spans="1:33" x14ac:dyDescent="0.2">
      <c r="A1" s="112"/>
      <c r="B1" s="125" t="s">
        <v>73</v>
      </c>
      <c r="C1" s="124">
        <f>Database!$F$1</f>
        <v>45329</v>
      </c>
      <c r="D1" s="124"/>
      <c r="E1" s="124"/>
      <c r="F1" s="124"/>
      <c r="G1" s="101"/>
      <c r="I1" s="124">
        <f>Database!$F$1</f>
        <v>45329</v>
      </c>
      <c r="J1" s="124"/>
      <c r="K1" s="124"/>
      <c r="L1" s="124"/>
      <c r="O1" s="124">
        <f>Database!$F$1</f>
        <v>45329</v>
      </c>
      <c r="P1" s="124"/>
      <c r="Q1" s="124"/>
      <c r="R1" s="124"/>
      <c r="T1" s="124">
        <f>Database!$F$1</f>
        <v>45329</v>
      </c>
      <c r="U1" s="124"/>
      <c r="V1" s="124"/>
      <c r="W1" s="124"/>
      <c r="Y1" s="124">
        <f>Database!$F$1</f>
        <v>45329</v>
      </c>
      <c r="Z1" s="124"/>
      <c r="AA1" s="124"/>
      <c r="AB1" s="124"/>
      <c r="AD1" s="124">
        <f>Database!$F$1</f>
        <v>45329</v>
      </c>
      <c r="AE1" s="124"/>
      <c r="AF1" s="124"/>
      <c r="AG1" s="124"/>
    </row>
    <row r="2" spans="1:33" x14ac:dyDescent="0.2">
      <c r="A2" s="112"/>
      <c r="B2" s="125" t="s">
        <v>71</v>
      </c>
      <c r="C2" s="115">
        <v>42736</v>
      </c>
      <c r="D2" s="116"/>
      <c r="E2" s="116"/>
      <c r="F2" s="116"/>
      <c r="G2" s="102"/>
      <c r="I2" s="115">
        <v>43000</v>
      </c>
      <c r="J2" s="116"/>
      <c r="K2" s="116"/>
      <c r="L2" s="116"/>
      <c r="O2" s="115">
        <v>43580</v>
      </c>
      <c r="P2" s="116"/>
      <c r="Q2" s="116"/>
      <c r="R2" s="116"/>
      <c r="T2" s="115">
        <v>44264</v>
      </c>
      <c r="U2" s="116"/>
      <c r="V2" s="116"/>
      <c r="W2" s="116"/>
      <c r="Y2" s="115">
        <v>44479</v>
      </c>
      <c r="Z2" s="116"/>
      <c r="AA2" s="116"/>
      <c r="AB2" s="116"/>
      <c r="AD2" s="115">
        <v>45329</v>
      </c>
      <c r="AE2" s="116"/>
      <c r="AF2" s="116"/>
      <c r="AG2" s="116"/>
    </row>
    <row r="3" spans="1:33" x14ac:dyDescent="0.2">
      <c r="A3" s="120" t="s">
        <v>60</v>
      </c>
      <c r="B3" s="121" t="s">
        <v>61</v>
      </c>
      <c r="C3" s="122" t="s">
        <v>52</v>
      </c>
      <c r="D3" s="122" t="s">
        <v>53</v>
      </c>
      <c r="E3" s="122" t="s">
        <v>54</v>
      </c>
      <c r="F3" s="123" t="s">
        <v>55</v>
      </c>
      <c r="G3" s="102"/>
      <c r="I3" s="222" t="s">
        <v>52</v>
      </c>
      <c r="J3" s="223" t="s">
        <v>53</v>
      </c>
      <c r="K3" s="223" t="s">
        <v>54</v>
      </c>
      <c r="L3" s="223" t="s">
        <v>55</v>
      </c>
      <c r="O3" s="222" t="s">
        <v>52</v>
      </c>
      <c r="P3" s="223" t="s">
        <v>53</v>
      </c>
      <c r="Q3" s="223" t="s">
        <v>54</v>
      </c>
      <c r="R3" s="223" t="s">
        <v>55</v>
      </c>
      <c r="T3" s="222" t="s">
        <v>52</v>
      </c>
      <c r="U3" s="223" t="s">
        <v>53</v>
      </c>
      <c r="V3" s="223" t="s">
        <v>54</v>
      </c>
      <c r="W3" s="223" t="s">
        <v>55</v>
      </c>
      <c r="Y3" s="222" t="s">
        <v>52</v>
      </c>
      <c r="Z3" s="223" t="s">
        <v>53</v>
      </c>
      <c r="AA3" s="223" t="s">
        <v>54</v>
      </c>
      <c r="AB3" s="223" t="s">
        <v>55</v>
      </c>
      <c r="AD3" s="222" t="s">
        <v>52</v>
      </c>
      <c r="AE3" s="223" t="s">
        <v>53</v>
      </c>
      <c r="AF3" s="223" t="s">
        <v>54</v>
      </c>
      <c r="AG3" s="223" t="s">
        <v>55</v>
      </c>
    </row>
    <row r="4" spans="1:33" x14ac:dyDescent="0.2">
      <c r="A4" s="106"/>
      <c r="B4" s="15" t="str">
        <f>HLOOKUP(Language!$C$3,Language!$E$1:$Z564,2,FALSE)</f>
        <v>Model Type</v>
      </c>
      <c r="C4" s="5" t="str">
        <f>CONCATENATE(C5," ",HLOOKUP(Language!$C$3,Language!$E$1:$Z500,3,FALSE))</f>
        <v>DR60 Digital Recorder</v>
      </c>
      <c r="D4" s="118"/>
      <c r="E4" s="118"/>
      <c r="F4" s="119"/>
      <c r="G4" s="103"/>
      <c r="I4" s="224" t="str">
        <f>CONCATENATE(I5," ",HLOOKUP(Language!$C$3,Language!$E$1:$Z500,3,FALSE))</f>
        <v>DR60 Digital Recorder</v>
      </c>
      <c r="J4" s="118"/>
      <c r="K4" s="118"/>
      <c r="L4" s="118"/>
      <c r="O4" s="224" t="str">
        <f>CONCATENATE(O5," ",HLOOKUP(Language!$C$3,Language!$E$1:$Z500,3,FALSE))</f>
        <v>DR60 Digital Recorder</v>
      </c>
      <c r="P4" s="118"/>
      <c r="Q4" s="118"/>
      <c r="R4" s="118"/>
      <c r="T4" s="224" t="str">
        <f>CONCATENATE(T5," ",HLOOKUP(Language!$C$3,Language!$E$1:$Z500,3,FALSE))</f>
        <v>DR60 Digital Recorder</v>
      </c>
      <c r="U4" s="118"/>
      <c r="V4" s="118"/>
      <c r="W4" s="118"/>
      <c r="Y4" s="224" t="str">
        <f>CONCATENATE(Y5," ",HLOOKUP(Language!$C$3,Language!$E$1:$Z500,3,FALSE))</f>
        <v>DR60 Digital Recorder</v>
      </c>
      <c r="Z4" s="118"/>
      <c r="AA4" s="118"/>
      <c r="AB4" s="118"/>
      <c r="AD4" s="224" t="str">
        <f>CONCATENATE(AD5," ",HLOOKUP(Language!$C$3,Language!$E$1:$Z500,3,FALSE))</f>
        <v>DR60 Digital Recorder</v>
      </c>
      <c r="AE4" s="118"/>
      <c r="AF4" s="118"/>
      <c r="AG4" s="118"/>
    </row>
    <row r="5" spans="1:33" x14ac:dyDescent="0.2">
      <c r="A5" s="106"/>
      <c r="B5" s="111" t="s">
        <v>72</v>
      </c>
      <c r="C5" s="105" t="str">
        <f>HLOOKUP(Language!$C$3,Language!$E$1:$Z500,4,FALSE)</f>
        <v>DR60</v>
      </c>
      <c r="D5" s="105"/>
      <c r="E5" s="117"/>
      <c r="F5" s="105" t="s">
        <v>56</v>
      </c>
      <c r="G5" s="104"/>
      <c r="I5" s="105" t="str">
        <f>HLOOKUP(Language!$C$3,Language!$E$1:$Z500,4,FALSE)</f>
        <v>DR60</v>
      </c>
      <c r="J5" s="105"/>
      <c r="K5" s="117"/>
      <c r="L5" s="105" t="s">
        <v>56</v>
      </c>
      <c r="O5" s="105" t="str">
        <f>HLOOKUP(Language!$C$3,Language!$E$1:$Z500,4,FALSE)</f>
        <v>DR60</v>
      </c>
      <c r="P5" s="105"/>
      <c r="Q5" s="117"/>
      <c r="R5" s="105" t="s">
        <v>56</v>
      </c>
      <c r="T5" s="105" t="str">
        <f>HLOOKUP(Language!$C$3,Language!$E$1:$Z500,4,FALSE)</f>
        <v>DR60</v>
      </c>
      <c r="U5" s="105"/>
      <c r="V5" s="117"/>
      <c r="W5" s="105" t="s">
        <v>56</v>
      </c>
      <c r="Y5" s="105" t="str">
        <f>HLOOKUP(Language!$C$3,Language!$E$1:$Z500,4,FALSE)</f>
        <v>DR60</v>
      </c>
      <c r="Z5" s="105"/>
      <c r="AA5" s="117"/>
      <c r="AB5" s="105" t="s">
        <v>56</v>
      </c>
      <c r="AD5" s="105" t="str">
        <f>HLOOKUP(Language!$C$3,Language!$E$1:$Z500,4,FALSE)</f>
        <v>DR60</v>
      </c>
      <c r="AE5" s="105"/>
      <c r="AF5" s="117"/>
      <c r="AG5" s="105" t="s">
        <v>56</v>
      </c>
    </row>
    <row r="6" spans="1:33" x14ac:dyDescent="0.2">
      <c r="A6" s="10">
        <v>1</v>
      </c>
      <c r="B6" s="4" t="str">
        <f>HLOOKUP(Language!$C$3,Language!$E$1:$Z564,5,FALSE)</f>
        <v>Slot A - Power Supply</v>
      </c>
      <c r="C6" s="99" t="str">
        <f>HLOOKUP(Language!$C$3,Language!$E$1:$Z500,40,FALSE)</f>
        <v>24-48 Vdc</v>
      </c>
      <c r="D6" s="7">
        <v>1</v>
      </c>
      <c r="E6" s="7"/>
      <c r="F6" s="94" t="s">
        <v>57</v>
      </c>
      <c r="G6" s="8"/>
      <c r="I6" s="7" t="str">
        <f>HLOOKUP(Language!$C$3,Language!$E$1:$Z500,40,FALSE)</f>
        <v>24-48 Vdc</v>
      </c>
      <c r="J6" s="7">
        <v>1</v>
      </c>
      <c r="K6" s="7"/>
      <c r="L6" s="7" t="s">
        <v>57</v>
      </c>
      <c r="O6" s="7" t="str">
        <f>HLOOKUP(Language!$C$3,Language!$E$1:$Z500,40,FALSE)</f>
        <v>24-48 Vdc</v>
      </c>
      <c r="P6" s="7">
        <v>1</v>
      </c>
      <c r="Q6" s="7"/>
      <c r="R6" s="7" t="s">
        <v>57</v>
      </c>
      <c r="T6" s="7" t="str">
        <f>HLOOKUP(Language!$C$3,Language!$E$1:$Z500,40,FALSE)</f>
        <v>24-48 Vdc</v>
      </c>
      <c r="U6" s="7">
        <v>1</v>
      </c>
      <c r="V6" s="7"/>
      <c r="W6" s="7" t="s">
        <v>57</v>
      </c>
      <c r="Y6" s="7" t="str">
        <f>HLOOKUP(Language!$C$3,Language!$E$1:$Z500,40,FALSE)</f>
        <v>24-48 Vdc</v>
      </c>
      <c r="Z6" s="7">
        <v>1</v>
      </c>
      <c r="AA6" s="7"/>
      <c r="AB6" s="7" t="s">
        <v>57</v>
      </c>
      <c r="AD6" s="7" t="str">
        <f>HLOOKUP(Language!$C$3,Language!$E$1:$Z500,40,FALSE)</f>
        <v>24-48 Vdc</v>
      </c>
      <c r="AE6" s="7">
        <v>1</v>
      </c>
      <c r="AF6" s="7"/>
      <c r="AG6" s="7" t="s">
        <v>57</v>
      </c>
    </row>
    <row r="7" spans="1:33" x14ac:dyDescent="0.2">
      <c r="A7" s="11"/>
      <c r="C7" s="100" t="str">
        <f>HLOOKUP(Language!$C$3,Language!$E$1:$Z501,6,FALSE)</f>
        <v>100-250 Vdc / 110-240 Vac</v>
      </c>
      <c r="D7" s="8">
        <v>3</v>
      </c>
      <c r="E7" s="8"/>
      <c r="F7" s="95" t="s">
        <v>56</v>
      </c>
      <c r="G7" s="8"/>
      <c r="I7" s="8" t="str">
        <f>HLOOKUP(Language!$C$3,Language!$E$1:$Z501,6,FALSE)</f>
        <v>100-250 Vdc / 110-240 Vac</v>
      </c>
      <c r="J7" s="8">
        <v>3</v>
      </c>
      <c r="K7" s="8"/>
      <c r="L7" s="8" t="s">
        <v>56</v>
      </c>
      <c r="O7" s="8" t="str">
        <f>HLOOKUP(Language!$C$3,Language!$E$1:$Z501,6,FALSE)</f>
        <v>100-250 Vdc / 110-240 Vac</v>
      </c>
      <c r="P7" s="8">
        <v>3</v>
      </c>
      <c r="Q7" s="8"/>
      <c r="R7" s="8" t="s">
        <v>56</v>
      </c>
      <c r="T7" s="8" t="str">
        <f>HLOOKUP(Language!$C$3,Language!$E$1:$Z501,6,FALSE)</f>
        <v>100-250 Vdc / 110-240 Vac</v>
      </c>
      <c r="U7" s="8">
        <v>3</v>
      </c>
      <c r="V7" s="8"/>
      <c r="W7" s="8" t="s">
        <v>56</v>
      </c>
      <c r="Y7" s="8" t="str">
        <f>HLOOKUP(Language!$C$3,Language!$E$1:$Z501,6,FALSE)</f>
        <v>100-250 Vdc / 110-240 Vac</v>
      </c>
      <c r="Z7" s="8">
        <v>3</v>
      </c>
      <c r="AA7" s="8"/>
      <c r="AB7" s="8" t="s">
        <v>56</v>
      </c>
      <c r="AD7" s="8" t="str">
        <f>HLOOKUP(Language!$C$3,Language!$E$1:$Z501,6,FALSE)</f>
        <v>100-250 Vdc / 110-240 Vac</v>
      </c>
      <c r="AE7" s="8">
        <v>3</v>
      </c>
      <c r="AF7" s="8"/>
      <c r="AG7" s="8" t="s">
        <v>56</v>
      </c>
    </row>
    <row r="8" spans="1:33" x14ac:dyDescent="0.2">
      <c r="A8" s="11"/>
      <c r="C8" s="8"/>
      <c r="D8" s="8"/>
      <c r="E8" s="8"/>
      <c r="F8" s="95"/>
      <c r="G8" s="8"/>
      <c r="I8" s="8"/>
      <c r="J8" s="8"/>
      <c r="K8" s="8"/>
      <c r="L8" s="8"/>
      <c r="O8" s="8"/>
      <c r="P8" s="8"/>
      <c r="Q8" s="8"/>
      <c r="R8" s="8"/>
      <c r="T8" s="8"/>
      <c r="U8" s="8"/>
      <c r="V8" s="8"/>
      <c r="W8" s="8"/>
      <c r="Y8" s="8"/>
      <c r="Z8" s="8"/>
      <c r="AA8" s="8"/>
      <c r="AB8" s="8"/>
      <c r="AD8" s="8"/>
      <c r="AE8" s="8"/>
      <c r="AF8" s="8"/>
      <c r="AG8" s="8"/>
    </row>
    <row r="9" spans="1:33" x14ac:dyDescent="0.2">
      <c r="A9" s="11"/>
      <c r="C9" s="8"/>
      <c r="D9" s="8"/>
      <c r="E9" s="8"/>
      <c r="F9" s="95"/>
      <c r="G9" s="8"/>
      <c r="I9" s="8"/>
      <c r="J9" s="8"/>
      <c r="K9" s="8"/>
      <c r="L9" s="8"/>
      <c r="O9" s="8"/>
      <c r="P9" s="8"/>
      <c r="Q9" s="8"/>
      <c r="R9" s="8"/>
      <c r="T9" s="8"/>
      <c r="U9" s="8"/>
      <c r="V9" s="8"/>
      <c r="W9" s="8"/>
      <c r="Y9" s="8"/>
      <c r="Z9" s="8"/>
      <c r="AA9" s="8"/>
      <c r="AB9" s="8"/>
      <c r="AD9" s="8"/>
      <c r="AE9" s="8"/>
      <c r="AF9" s="8"/>
      <c r="AG9" s="8"/>
    </row>
    <row r="10" spans="1:33" x14ac:dyDescent="0.2">
      <c r="A10" s="16"/>
      <c r="C10" s="6"/>
      <c r="D10" s="6"/>
      <c r="E10" s="6"/>
      <c r="G10" s="104"/>
      <c r="I10" s="104"/>
      <c r="J10" s="6"/>
      <c r="K10" s="6"/>
      <c r="L10" s="6"/>
      <c r="O10" s="104"/>
      <c r="P10" s="6"/>
      <c r="Q10" s="6"/>
      <c r="R10" s="6"/>
      <c r="T10" s="104"/>
      <c r="U10" s="6"/>
      <c r="V10" s="6"/>
      <c r="W10" s="6"/>
      <c r="Y10" s="104"/>
      <c r="Z10" s="6"/>
      <c r="AA10" s="6"/>
      <c r="AB10" s="6"/>
      <c r="AD10" s="104"/>
      <c r="AE10" s="6"/>
      <c r="AF10" s="6"/>
      <c r="AG10" s="6"/>
    </row>
    <row r="11" spans="1:33" x14ac:dyDescent="0.2">
      <c r="A11" s="10">
        <v>2</v>
      </c>
      <c r="B11" s="4" t="str">
        <f>HLOOKUP(Language!$C$3,Language!$E$1:$Z564,7,FALSE)</f>
        <v>Slot B - Hardware Options</v>
      </c>
      <c r="C11" s="9" t="str">
        <f>HLOOKUP(Language!$C$3,Language!$E$1:$Z500,67,FALSE)</f>
        <v>Processing unit + two RJ45 copper 10/100BASE-TX Ethernet interfaces</v>
      </c>
      <c r="D11" s="165" t="s">
        <v>80</v>
      </c>
      <c r="E11" s="9"/>
      <c r="F11" s="96" t="s">
        <v>56</v>
      </c>
      <c r="G11" s="104"/>
      <c r="I11" s="9" t="str">
        <f>HLOOKUP(Language!$C$3,Language!$E$1:$Z500,67,FALSE)</f>
        <v>Processing unit + two RJ45 copper 10/100BASE-TX Ethernet interfaces</v>
      </c>
      <c r="J11" s="165" t="s">
        <v>80</v>
      </c>
      <c r="K11" s="9"/>
      <c r="L11" s="9" t="s">
        <v>56</v>
      </c>
      <c r="O11" s="9" t="str">
        <f>HLOOKUP(Language!$C$3,Language!$E$1:$Z500,67,FALSE)</f>
        <v>Processing unit + two RJ45 copper 10/100BASE-TX Ethernet interfaces</v>
      </c>
      <c r="P11" s="165" t="s">
        <v>80</v>
      </c>
      <c r="Q11" s="9"/>
      <c r="R11" s="9" t="s">
        <v>56</v>
      </c>
      <c r="T11" s="9" t="str">
        <f>HLOOKUP(Language!$C$3,Language!$E$1:$Z500,67,FALSE)</f>
        <v>Processing unit + two RJ45 copper 10/100BASE-TX Ethernet interfaces</v>
      </c>
      <c r="U11" s="165" t="s">
        <v>80</v>
      </c>
      <c r="V11" s="9"/>
      <c r="W11" s="9" t="s">
        <v>56</v>
      </c>
      <c r="Y11" s="9" t="str">
        <f>HLOOKUP(Language!$C$3,Language!$E$1:$Z500,67,FALSE)</f>
        <v>Processing unit + two RJ45 copper 10/100BASE-TX Ethernet interfaces</v>
      </c>
      <c r="Z11" s="165" t="s">
        <v>80</v>
      </c>
      <c r="AA11" s="9"/>
      <c r="AB11" s="9" t="s">
        <v>56</v>
      </c>
      <c r="AD11" s="9" t="str">
        <f>HLOOKUP(Language!$C$3,Language!$E$1:$Z500,67,FALSE)</f>
        <v>Processing unit + two RJ45 copper 10/100BASE-TX Ethernet interfaces</v>
      </c>
      <c r="AE11" s="165" t="s">
        <v>80</v>
      </c>
      <c r="AF11" s="9"/>
      <c r="AG11" s="9" t="s">
        <v>56</v>
      </c>
    </row>
    <row r="12" spans="1:33" x14ac:dyDescent="0.2">
      <c r="A12" s="16"/>
      <c r="C12" s="107" t="str">
        <f>HLOOKUP(Language!$C$3,Language!$E$1:$Z501,8,FALSE)</f>
        <v>Processing unit + two multimode LC-type connector 100BASE-FX Ethernet interfaces</v>
      </c>
      <c r="D12" s="6" t="s">
        <v>85</v>
      </c>
      <c r="E12" s="6"/>
      <c r="G12" s="104"/>
      <c r="I12" s="107" t="str">
        <f>HLOOKUP(Language!$C$3,Language!$E$1:$Z501,8,FALSE)</f>
        <v>Processing unit + two multimode LC-type connector 100BASE-FX Ethernet interfaces</v>
      </c>
      <c r="J12" s="6" t="s">
        <v>85</v>
      </c>
      <c r="K12" s="6"/>
      <c r="L12" s="6"/>
      <c r="O12" s="107" t="str">
        <f>HLOOKUP(Language!$C$3,Language!$E$1:$Z501,8,FALSE)</f>
        <v>Processing unit + two multimode LC-type connector 100BASE-FX Ethernet interfaces</v>
      </c>
      <c r="P12" s="6" t="s">
        <v>85</v>
      </c>
      <c r="Q12" s="6"/>
      <c r="R12" s="6"/>
      <c r="T12" s="107" t="str">
        <f>HLOOKUP(Language!$C$3,Language!$E$1:$Z501,8,FALSE)</f>
        <v>Processing unit + two multimode LC-type connector 100BASE-FX Ethernet interfaces</v>
      </c>
      <c r="U12" s="6" t="s">
        <v>85</v>
      </c>
      <c r="V12" s="6"/>
      <c r="W12" s="6"/>
      <c r="Y12" s="107" t="str">
        <f>HLOOKUP(Language!$C$3,Language!$E$1:$Z501,8,FALSE)</f>
        <v>Processing unit + two multimode LC-type connector 100BASE-FX Ethernet interfaces</v>
      </c>
      <c r="Z12" s="6" t="s">
        <v>85</v>
      </c>
      <c r="AA12" s="6"/>
      <c r="AB12" s="6"/>
      <c r="AD12" s="107" t="str">
        <f>HLOOKUP(Language!$C$3,Language!$E$1:$Z501,8,FALSE)</f>
        <v>Processing unit + two multimode LC-type connector 100BASE-FX Ethernet interfaces</v>
      </c>
      <c r="AE12" s="6" t="s">
        <v>85</v>
      </c>
      <c r="AF12" s="6"/>
      <c r="AG12" s="6"/>
    </row>
    <row r="13" spans="1:33" x14ac:dyDescent="0.2">
      <c r="A13" s="10">
        <v>3</v>
      </c>
      <c r="B13" s="4" t="str">
        <f>HLOOKUP(Language!$C$3,Language!$E$1:$Z564,9,FALSE)</f>
        <v>Slot C - Binary I/O</v>
      </c>
      <c r="C13" s="9" t="str">
        <f>HLOOKUP(Language!$C$3,Language!$E$1:$Z500,10,FALSE)</f>
        <v>16 x 24/48/125/250 V binary inputs</v>
      </c>
      <c r="D13" s="9" t="s">
        <v>103</v>
      </c>
      <c r="E13" s="9"/>
      <c r="F13" s="96" t="s">
        <v>56</v>
      </c>
      <c r="G13" s="104"/>
      <c r="I13" s="9" t="str">
        <f>HLOOKUP(Language!$C$3,Language!$E$1:$Z500,10,FALSE)</f>
        <v>16 x 24/48/125/250 V binary inputs</v>
      </c>
      <c r="J13" s="9" t="s">
        <v>103</v>
      </c>
      <c r="K13" s="9"/>
      <c r="L13" s="9" t="s">
        <v>56</v>
      </c>
      <c r="O13" s="9" t="str">
        <f>HLOOKUP(Language!$C$3,Language!$E$1:$Z500,10,FALSE)</f>
        <v>16 x 24/48/125/250 V binary inputs</v>
      </c>
      <c r="P13" s="9" t="s">
        <v>103</v>
      </c>
      <c r="Q13" s="9"/>
      <c r="R13" s="9" t="s">
        <v>56</v>
      </c>
      <c r="T13" s="9" t="str">
        <f>HLOOKUP(Language!$C$3,Language!$E$1:$Z500,10,FALSE)</f>
        <v>16 x 24/48/125/250 V binary inputs</v>
      </c>
      <c r="U13" s="9" t="s">
        <v>103</v>
      </c>
      <c r="V13" s="9"/>
      <c r="W13" s="9" t="s">
        <v>56</v>
      </c>
      <c r="Y13" s="9" t="str">
        <f>HLOOKUP(Language!$C$3,Language!$E$1:$Z500,10,FALSE)</f>
        <v>16 x 24/48/125/250 V binary inputs</v>
      </c>
      <c r="Z13" s="9" t="s">
        <v>103</v>
      </c>
      <c r="AA13" s="9"/>
      <c r="AB13" s="9" t="s">
        <v>56</v>
      </c>
      <c r="AD13" s="9" t="str">
        <f>HLOOKUP(Language!$C$3,Language!$E$1:$Z500,10,FALSE)</f>
        <v>16 x 24/48/125/250 V binary inputs</v>
      </c>
      <c r="AE13" s="9" t="s">
        <v>103</v>
      </c>
      <c r="AF13" s="9"/>
      <c r="AG13" s="9" t="s">
        <v>56</v>
      </c>
    </row>
    <row r="14" spans="1:33" x14ac:dyDescent="0.2">
      <c r="A14" s="11"/>
      <c r="B14" s="17"/>
      <c r="C14" s="6" t="str">
        <f>HLOOKUP(Language!$C$3,Language!$E$1:$Z500,11,FALSE)</f>
        <v>6 x  24/48/125/250 V binary inputs and 8 x binary outputs</v>
      </c>
      <c r="D14" s="6" t="s">
        <v>104</v>
      </c>
      <c r="E14" s="6"/>
      <c r="F14" s="93" t="s">
        <v>56</v>
      </c>
      <c r="G14" s="104"/>
      <c r="I14" s="104" t="str">
        <f>HLOOKUP(Language!$C$3,Language!$E$1:$Z500,11,FALSE)</f>
        <v>6 x  24/48/125/250 V binary inputs and 8 x binary outputs</v>
      </c>
      <c r="J14" s="6" t="s">
        <v>104</v>
      </c>
      <c r="K14" s="6"/>
      <c r="L14" s="6" t="s">
        <v>56</v>
      </c>
      <c r="O14" s="104" t="str">
        <f>HLOOKUP(Language!$C$3,Language!$E$1:$Z500,11,FALSE)</f>
        <v>6 x  24/48/125/250 V binary inputs and 8 x binary outputs</v>
      </c>
      <c r="P14" s="6" t="s">
        <v>104</v>
      </c>
      <c r="Q14" s="6"/>
      <c r="R14" s="6" t="s">
        <v>56</v>
      </c>
      <c r="T14" s="104" t="str">
        <f>HLOOKUP(Language!$C$3,Language!$E$1:$Z500,11,FALSE)</f>
        <v>6 x  24/48/125/250 V binary inputs and 8 x binary outputs</v>
      </c>
      <c r="U14" s="6" t="s">
        <v>104</v>
      </c>
      <c r="V14" s="6"/>
      <c r="W14" s="6" t="s">
        <v>56</v>
      </c>
      <c r="Y14" s="104" t="str">
        <f>HLOOKUP(Language!$C$3,Language!$E$1:$Z500,11,FALSE)</f>
        <v>6 x  24/48/125/250 V binary inputs and 8 x binary outputs</v>
      </c>
      <c r="Z14" s="6" t="s">
        <v>104</v>
      </c>
      <c r="AA14" s="6"/>
      <c r="AB14" s="6" t="s">
        <v>56</v>
      </c>
      <c r="AD14" s="104" t="str">
        <f>HLOOKUP(Language!$C$3,Language!$E$1:$Z500,11,FALSE)</f>
        <v>6 x  24/48/125/250 V binary inputs and 8 x binary outputs</v>
      </c>
      <c r="AE14" s="6" t="s">
        <v>104</v>
      </c>
      <c r="AF14" s="6"/>
      <c r="AG14" s="6" t="s">
        <v>56</v>
      </c>
    </row>
    <row r="15" spans="1:33" x14ac:dyDescent="0.2">
      <c r="A15" s="11"/>
      <c r="B15" s="17"/>
      <c r="C15" s="6" t="str">
        <f>HLOOKUP(Language!$C$3,Language!$E$1:$Z500,12,FALSE)</f>
        <v>Not installed</v>
      </c>
      <c r="D15" s="6" t="s">
        <v>105</v>
      </c>
      <c r="E15" s="6"/>
      <c r="F15" s="93" t="s">
        <v>56</v>
      </c>
      <c r="G15" s="104"/>
      <c r="I15" s="104" t="str">
        <f>HLOOKUP(Language!$C$3,Language!$E$1:$Z500,12,FALSE)</f>
        <v>Not installed</v>
      </c>
      <c r="J15" s="6" t="s">
        <v>105</v>
      </c>
      <c r="K15" s="6"/>
      <c r="L15" s="6" t="s">
        <v>56</v>
      </c>
      <c r="O15" s="104" t="str">
        <f>HLOOKUP(Language!$C$3,Language!$E$1:$Z500,12,FALSE)</f>
        <v>Not installed</v>
      </c>
      <c r="P15" s="6" t="s">
        <v>105</v>
      </c>
      <c r="Q15" s="6"/>
      <c r="R15" s="6" t="s">
        <v>56</v>
      </c>
      <c r="T15" s="104" t="str">
        <f>HLOOKUP(Language!$C$3,Language!$E$1:$Z500,10,FALSE)</f>
        <v>16 x 24/48/125/250 V binary inputs</v>
      </c>
      <c r="U15" s="6" t="s">
        <v>241</v>
      </c>
      <c r="V15" s="6"/>
      <c r="W15" s="6" t="s">
        <v>56</v>
      </c>
      <c r="Y15" s="104" t="str">
        <f>HLOOKUP(Language!$C$3,Language!$E$1:$Z500,10,FALSE)</f>
        <v>16 x 24/48/125/250 V binary inputs</v>
      </c>
      <c r="Z15" s="6" t="s">
        <v>241</v>
      </c>
      <c r="AA15" s="6"/>
      <c r="AB15" s="6" t="s">
        <v>56</v>
      </c>
      <c r="AD15" s="104" t="str">
        <f>HLOOKUP(Language!$C$3,Language!$E$1:$Z500,10,FALSE)</f>
        <v>16 x 24/48/125/250 V binary inputs</v>
      </c>
      <c r="AE15" s="6" t="s">
        <v>241</v>
      </c>
      <c r="AF15" s="6"/>
      <c r="AG15" s="6" t="s">
        <v>56</v>
      </c>
    </row>
    <row r="16" spans="1:33" x14ac:dyDescent="0.2">
      <c r="A16" s="11"/>
      <c r="B16" s="17"/>
      <c r="C16" s="6"/>
      <c r="D16" s="6"/>
      <c r="E16" s="6"/>
      <c r="G16" s="104"/>
      <c r="I16" s="104"/>
      <c r="J16" s="6"/>
      <c r="K16" s="6"/>
      <c r="L16" s="6"/>
      <c r="O16" s="104"/>
      <c r="P16" s="6"/>
      <c r="Q16" s="6"/>
      <c r="R16" s="6"/>
      <c r="T16" s="104" t="str">
        <f>HLOOKUP(Language!$C$3,Language!$E$1:$Z550,80,FALSE)</f>
        <v>6 x  24/48/125/250 V binary inputs and 8 x Form-A binary outputs</v>
      </c>
      <c r="U16" s="6" t="s">
        <v>242</v>
      </c>
      <c r="V16" s="6"/>
      <c r="W16" s="6" t="s">
        <v>56</v>
      </c>
      <c r="Y16" s="104" t="str">
        <f>HLOOKUP(Language!$C$3,Language!$E$1:$Z550,80,FALSE)</f>
        <v>6 x  24/48/125/250 V binary inputs and 8 x Form-A binary outputs</v>
      </c>
      <c r="Z16" s="6" t="s">
        <v>242</v>
      </c>
      <c r="AA16" s="6"/>
      <c r="AB16" s="6" t="s">
        <v>56</v>
      </c>
      <c r="AD16" s="104" t="str">
        <f>HLOOKUP(Language!$C$3,Language!$E$1:$Z550,80,FALSE)</f>
        <v>6 x  24/48/125/250 V binary inputs and 8 x Form-A binary outputs</v>
      </c>
      <c r="AE16" s="6" t="s">
        <v>242</v>
      </c>
      <c r="AF16" s="6"/>
      <c r="AG16" s="6" t="s">
        <v>56</v>
      </c>
    </row>
    <row r="17" spans="1:33" x14ac:dyDescent="0.2">
      <c r="A17" s="11"/>
      <c r="B17" s="17"/>
      <c r="C17" s="6"/>
      <c r="D17" s="6"/>
      <c r="E17" s="6"/>
      <c r="G17" s="104"/>
      <c r="I17" s="104"/>
      <c r="J17" s="6"/>
      <c r="K17" s="6"/>
      <c r="L17" s="6"/>
      <c r="O17" s="104"/>
      <c r="P17" s="6"/>
      <c r="Q17" s="6"/>
      <c r="R17" s="6"/>
      <c r="T17" s="104" t="str">
        <f>HLOOKUP(Language!$C$3,Language!$E$1:$Z500,12,FALSE)</f>
        <v>Not installed</v>
      </c>
      <c r="U17" s="6" t="s">
        <v>105</v>
      </c>
      <c r="V17" s="6"/>
      <c r="W17" s="6" t="s">
        <v>56</v>
      </c>
      <c r="Y17" s="104" t="str">
        <f>HLOOKUP(Language!$C$3,Language!$E$1:$Z500,12,FALSE)</f>
        <v>Not installed</v>
      </c>
      <c r="Z17" s="6" t="s">
        <v>105</v>
      </c>
      <c r="AA17" s="6"/>
      <c r="AB17" s="6" t="s">
        <v>56</v>
      </c>
      <c r="AD17" s="104" t="str">
        <f>HLOOKUP(Language!$C$3,Language!$E$1:$Z500,12,FALSE)</f>
        <v>Not installed</v>
      </c>
      <c r="AE17" s="6" t="s">
        <v>105</v>
      </c>
      <c r="AF17" s="6"/>
      <c r="AG17" s="6" t="s">
        <v>56</v>
      </c>
    </row>
    <row r="18" spans="1:33" x14ac:dyDescent="0.2">
      <c r="A18" s="11"/>
      <c r="B18" s="17"/>
      <c r="C18" s="6"/>
      <c r="D18" s="6"/>
      <c r="E18" s="6"/>
      <c r="G18" s="104"/>
      <c r="I18" s="104"/>
      <c r="J18" s="6"/>
      <c r="K18" s="6"/>
      <c r="L18" s="6"/>
      <c r="O18" s="104"/>
      <c r="P18" s="6"/>
      <c r="Q18" s="6"/>
      <c r="R18" s="6"/>
      <c r="T18" s="104"/>
      <c r="U18" s="6"/>
      <c r="V18" s="6"/>
      <c r="W18" s="6"/>
      <c r="Y18" s="104"/>
      <c r="Z18" s="6"/>
      <c r="AA18" s="6"/>
      <c r="AB18" s="6"/>
      <c r="AD18" s="104"/>
      <c r="AE18" s="6"/>
      <c r="AF18" s="6"/>
      <c r="AG18" s="6"/>
    </row>
    <row r="19" spans="1:33" x14ac:dyDescent="0.2">
      <c r="A19" s="11"/>
      <c r="B19" s="17"/>
      <c r="C19" s="6"/>
      <c r="D19" s="6"/>
      <c r="E19" s="6"/>
      <c r="G19" s="104"/>
      <c r="I19" s="104"/>
      <c r="J19" s="6"/>
      <c r="K19" s="6"/>
      <c r="L19" s="6"/>
      <c r="O19" s="104"/>
      <c r="P19" s="6"/>
      <c r="Q19" s="6"/>
      <c r="R19" s="6"/>
      <c r="T19" s="104"/>
      <c r="U19" s="6"/>
      <c r="V19" s="6"/>
      <c r="W19" s="6"/>
      <c r="Y19" s="104"/>
      <c r="Z19" s="6"/>
      <c r="AA19" s="6"/>
      <c r="AB19" s="6"/>
      <c r="AD19" s="104"/>
      <c r="AE19" s="6"/>
      <c r="AF19" s="6"/>
      <c r="AG19" s="6"/>
    </row>
    <row r="20" spans="1:33" x14ac:dyDescent="0.2">
      <c r="A20" s="11"/>
      <c r="B20" s="17"/>
      <c r="C20" s="6"/>
      <c r="D20" s="6"/>
      <c r="E20" s="6"/>
      <c r="G20" s="104"/>
      <c r="I20" s="104"/>
      <c r="J20" s="6"/>
      <c r="K20" s="6"/>
      <c r="L20" s="6"/>
      <c r="O20" s="104"/>
      <c r="P20" s="6"/>
      <c r="Q20" s="6"/>
      <c r="R20" s="6"/>
      <c r="T20" s="104"/>
      <c r="U20" s="6"/>
      <c r="V20" s="6"/>
      <c r="W20" s="6"/>
      <c r="Y20" s="104"/>
      <c r="Z20" s="6"/>
      <c r="AA20" s="6"/>
      <c r="AB20" s="6"/>
      <c r="AD20" s="104"/>
      <c r="AE20" s="6"/>
      <c r="AF20" s="6"/>
      <c r="AG20" s="6"/>
    </row>
    <row r="21" spans="1:33" x14ac:dyDescent="0.2">
      <c r="A21" s="11"/>
      <c r="B21" s="17"/>
      <c r="C21" s="6"/>
      <c r="D21" s="6"/>
      <c r="E21" s="6"/>
      <c r="G21" s="104"/>
      <c r="I21" s="104"/>
      <c r="J21" s="6"/>
      <c r="K21" s="6"/>
      <c r="L21" s="6"/>
      <c r="O21" s="104"/>
      <c r="P21" s="6"/>
      <c r="Q21" s="6"/>
      <c r="R21" s="6"/>
      <c r="T21" s="104"/>
      <c r="U21" s="6"/>
      <c r="V21" s="6"/>
      <c r="W21" s="6"/>
      <c r="Y21" s="104"/>
      <c r="Z21" s="6"/>
      <c r="AA21" s="6"/>
      <c r="AB21" s="6"/>
      <c r="AD21" s="104"/>
      <c r="AE21" s="6"/>
      <c r="AF21" s="6"/>
      <c r="AG21" s="6"/>
    </row>
    <row r="22" spans="1:33" x14ac:dyDescent="0.2">
      <c r="A22" s="11"/>
      <c r="B22" s="17"/>
      <c r="C22" s="6"/>
      <c r="D22" s="6"/>
      <c r="E22" s="6"/>
      <c r="G22" s="104"/>
      <c r="I22" s="104"/>
      <c r="J22" s="6"/>
      <c r="K22" s="6"/>
      <c r="L22" s="6"/>
      <c r="O22" s="104"/>
      <c r="P22" s="6"/>
      <c r="Q22" s="6"/>
      <c r="R22" s="6"/>
      <c r="T22" s="104"/>
      <c r="U22" s="6"/>
      <c r="V22" s="6"/>
      <c r="W22" s="6"/>
      <c r="Y22" s="104"/>
      <c r="Z22" s="6"/>
      <c r="AA22" s="6"/>
      <c r="AB22" s="6"/>
      <c r="AD22" s="104"/>
      <c r="AE22" s="6"/>
      <c r="AF22" s="6"/>
      <c r="AG22" s="6"/>
    </row>
    <row r="23" spans="1:33" x14ac:dyDescent="0.2">
      <c r="A23" s="11"/>
      <c r="B23" s="17"/>
      <c r="C23" s="6"/>
      <c r="D23" s="6"/>
      <c r="E23" s="6"/>
      <c r="G23" s="104"/>
      <c r="I23" s="104"/>
      <c r="J23" s="6"/>
      <c r="K23" s="6"/>
      <c r="L23" s="6"/>
      <c r="O23" s="104"/>
      <c r="P23" s="6"/>
      <c r="Q23" s="6"/>
      <c r="R23" s="6"/>
      <c r="T23" s="104"/>
      <c r="U23" s="6"/>
      <c r="V23" s="6"/>
      <c r="W23" s="6"/>
      <c r="Y23" s="104"/>
      <c r="Z23" s="6"/>
      <c r="AA23" s="6"/>
      <c r="AB23" s="6"/>
      <c r="AD23" s="104"/>
      <c r="AE23" s="6"/>
      <c r="AF23" s="6"/>
      <c r="AG23" s="6"/>
    </row>
    <row r="24" spans="1:33" x14ac:dyDescent="0.2">
      <c r="A24" s="16"/>
      <c r="C24" s="6"/>
      <c r="D24" s="6"/>
      <c r="E24" s="6"/>
      <c r="G24" s="104"/>
      <c r="I24" s="104"/>
      <c r="J24" s="6"/>
      <c r="K24" s="6"/>
      <c r="L24" s="6"/>
      <c r="O24" s="104"/>
      <c r="P24" s="6"/>
      <c r="Q24" s="6"/>
      <c r="R24" s="6"/>
      <c r="T24" s="104"/>
      <c r="U24" s="6"/>
      <c r="V24" s="6"/>
      <c r="W24" s="6"/>
      <c r="Y24" s="104"/>
      <c r="Z24" s="6"/>
      <c r="AA24" s="6"/>
      <c r="AB24" s="6"/>
      <c r="AD24" s="104"/>
      <c r="AE24" s="6"/>
      <c r="AF24" s="6"/>
      <c r="AG24" s="6"/>
    </row>
    <row r="25" spans="1:33" x14ac:dyDescent="0.2">
      <c r="A25" s="10">
        <v>4</v>
      </c>
      <c r="B25" s="4" t="str">
        <f>HLOOKUP(Language!$C$3,Language!$E$1:$Z564,13,FALSE)</f>
        <v>Slot D - Binary I/O</v>
      </c>
      <c r="C25" s="9" t="str">
        <f>HLOOKUP(Language!$C$3,Language!$E$1:$Z516,10,FALSE)</f>
        <v>16 x 24/48/125/250 V binary inputs</v>
      </c>
      <c r="D25" s="9" t="s">
        <v>103</v>
      </c>
      <c r="E25" s="9"/>
      <c r="F25" s="96" t="s">
        <v>56</v>
      </c>
      <c r="G25" s="104"/>
      <c r="I25" s="9" t="str">
        <f>HLOOKUP(Language!$C$3,Language!$E$1:$Z516,10,FALSE)</f>
        <v>16 x 24/48/125/250 V binary inputs</v>
      </c>
      <c r="J25" s="9" t="s">
        <v>103</v>
      </c>
      <c r="K25" s="9"/>
      <c r="L25" s="9" t="s">
        <v>56</v>
      </c>
      <c r="O25" s="9" t="str">
        <f>HLOOKUP(Language!$C$3,Language!$E$1:$Z516,10,FALSE)</f>
        <v>16 x 24/48/125/250 V binary inputs</v>
      </c>
      <c r="P25" s="9" t="s">
        <v>103</v>
      </c>
      <c r="Q25" s="9"/>
      <c r="R25" s="9" t="s">
        <v>56</v>
      </c>
      <c r="T25" s="9" t="str">
        <f>HLOOKUP(Language!$C$3,Language!$E$1:$Z510,10,FALSE)</f>
        <v>16 x 24/48/125/250 V binary inputs</v>
      </c>
      <c r="U25" s="9" t="s">
        <v>103</v>
      </c>
      <c r="V25" s="9"/>
      <c r="W25" s="9" t="s">
        <v>56</v>
      </c>
      <c r="Y25" s="9" t="str">
        <f>HLOOKUP(Language!$C$3,Language!$E$1:$Z510,10,FALSE)</f>
        <v>16 x 24/48/125/250 V binary inputs</v>
      </c>
      <c r="Z25" s="9" t="s">
        <v>103</v>
      </c>
      <c r="AA25" s="9"/>
      <c r="AB25" s="9" t="s">
        <v>56</v>
      </c>
      <c r="AD25" s="9" t="str">
        <f>HLOOKUP(Language!$C$3,Language!$E$1:$Z510,10,FALSE)</f>
        <v>16 x 24/48/125/250 V binary inputs</v>
      </c>
      <c r="AE25" s="9" t="s">
        <v>103</v>
      </c>
      <c r="AF25" s="9"/>
      <c r="AG25" s="9" t="s">
        <v>56</v>
      </c>
    </row>
    <row r="26" spans="1:33" x14ac:dyDescent="0.2">
      <c r="A26" s="11"/>
      <c r="C26" s="6" t="str">
        <f>HLOOKUP(Language!$C$3,Language!$E$1:$Z516,11,FALSE)</f>
        <v>6 x  24/48/125/250 V binary inputs and 8 x binary outputs</v>
      </c>
      <c r="D26" s="6" t="s">
        <v>104</v>
      </c>
      <c r="E26" s="6"/>
      <c r="F26" s="93" t="s">
        <v>56</v>
      </c>
      <c r="G26" s="104"/>
      <c r="I26" s="104" t="str">
        <f>HLOOKUP(Language!$C$3,Language!$E$1:$Z516,11,FALSE)</f>
        <v>6 x  24/48/125/250 V binary inputs and 8 x binary outputs</v>
      </c>
      <c r="J26" s="6" t="s">
        <v>104</v>
      </c>
      <c r="K26" s="6"/>
      <c r="L26" s="6" t="s">
        <v>56</v>
      </c>
      <c r="O26" s="104" t="str">
        <f>HLOOKUP(Language!$C$3,Language!$E$1:$Z516,11,FALSE)</f>
        <v>6 x  24/48/125/250 V binary inputs and 8 x binary outputs</v>
      </c>
      <c r="P26" s="6" t="s">
        <v>104</v>
      </c>
      <c r="Q26" s="6"/>
      <c r="R26" s="6" t="s">
        <v>56</v>
      </c>
      <c r="T26" s="104" t="str">
        <f>HLOOKUP(Language!$C$3,Language!$E$1:$Z510,11,FALSE)</f>
        <v>6 x  24/48/125/250 V binary inputs and 8 x binary outputs</v>
      </c>
      <c r="U26" s="6" t="s">
        <v>104</v>
      </c>
      <c r="V26" s="6"/>
      <c r="W26" s="6" t="s">
        <v>56</v>
      </c>
      <c r="Y26" s="104" t="str">
        <f>HLOOKUP(Language!$C$3,Language!$E$1:$Z510,11,FALSE)</f>
        <v>6 x  24/48/125/250 V binary inputs and 8 x binary outputs</v>
      </c>
      <c r="Z26" s="6" t="s">
        <v>104</v>
      </c>
      <c r="AA26" s="6"/>
      <c r="AB26" s="6" t="s">
        <v>56</v>
      </c>
      <c r="AD26" s="104" t="str">
        <f>HLOOKUP(Language!$C$3,Language!$E$1:$Z510,11,FALSE)</f>
        <v>6 x  24/48/125/250 V binary inputs and 8 x binary outputs</v>
      </c>
      <c r="AE26" s="6" t="s">
        <v>104</v>
      </c>
      <c r="AF26" s="6"/>
      <c r="AG26" s="6" t="s">
        <v>56</v>
      </c>
    </row>
    <row r="27" spans="1:33" x14ac:dyDescent="0.2">
      <c r="A27" s="11"/>
      <c r="C27" s="6" t="str">
        <f>HLOOKUP(Language!$C$3,Language!$E$1:$Z516,12,FALSE)</f>
        <v>Not installed</v>
      </c>
      <c r="D27" s="6" t="s">
        <v>105</v>
      </c>
      <c r="E27" s="6"/>
      <c r="F27" s="93" t="s">
        <v>56</v>
      </c>
      <c r="G27" s="104"/>
      <c r="I27" s="104" t="str">
        <f>HLOOKUP(Language!$C$3,Language!$E$1:$Z516,12,FALSE)</f>
        <v>Not installed</v>
      </c>
      <c r="J27" s="6" t="s">
        <v>105</v>
      </c>
      <c r="K27" s="6"/>
      <c r="L27" s="6" t="s">
        <v>56</v>
      </c>
      <c r="O27" s="104" t="str">
        <f>HLOOKUP(Language!$C$3,Language!$E$1:$Z516,12,FALSE)</f>
        <v>Not installed</v>
      </c>
      <c r="P27" s="6" t="s">
        <v>105</v>
      </c>
      <c r="Q27" s="6"/>
      <c r="R27" s="6" t="s">
        <v>56</v>
      </c>
      <c r="T27" s="104" t="str">
        <f>HLOOKUP(Language!$C$3,Language!$E$1:$Z510,10,FALSE)</f>
        <v>16 x 24/48/125/250 V binary inputs</v>
      </c>
      <c r="U27" s="6" t="s">
        <v>241</v>
      </c>
      <c r="V27" s="6"/>
      <c r="W27" s="6" t="s">
        <v>56</v>
      </c>
      <c r="Y27" s="104" t="str">
        <f>HLOOKUP(Language!$C$3,Language!$E$1:$Z510,10,FALSE)</f>
        <v>16 x 24/48/125/250 V binary inputs</v>
      </c>
      <c r="Z27" s="6" t="s">
        <v>241</v>
      </c>
      <c r="AA27" s="6"/>
      <c r="AB27" s="6" t="s">
        <v>56</v>
      </c>
      <c r="AD27" s="104" t="str">
        <f>HLOOKUP(Language!$C$3,Language!$E$1:$Z510,10,FALSE)</f>
        <v>16 x 24/48/125/250 V binary inputs</v>
      </c>
      <c r="AE27" s="6" t="s">
        <v>241</v>
      </c>
      <c r="AF27" s="6"/>
      <c r="AG27" s="6" t="s">
        <v>56</v>
      </c>
    </row>
    <row r="28" spans="1:33" x14ac:dyDescent="0.2">
      <c r="A28" s="11"/>
      <c r="C28" s="6"/>
      <c r="D28" s="6"/>
      <c r="E28" s="6"/>
      <c r="G28" s="104"/>
      <c r="I28" s="104"/>
      <c r="J28" s="6"/>
      <c r="K28" s="6"/>
      <c r="L28" s="6"/>
      <c r="O28" s="104"/>
      <c r="P28" s="6"/>
      <c r="Q28" s="6"/>
      <c r="R28" s="6"/>
      <c r="T28" s="104" t="str">
        <f>HLOOKUP(Language!$C$3,Language!$E$1:$Z550,80,FALSE)</f>
        <v>6 x  24/48/125/250 V binary inputs and 8 x Form-A binary outputs</v>
      </c>
      <c r="U28" s="6" t="s">
        <v>242</v>
      </c>
      <c r="V28" s="6"/>
      <c r="W28" s="6" t="s">
        <v>56</v>
      </c>
      <c r="Y28" s="104" t="str">
        <f>HLOOKUP(Language!$C$3,Language!$E$1:$Z550,80,FALSE)</f>
        <v>6 x  24/48/125/250 V binary inputs and 8 x Form-A binary outputs</v>
      </c>
      <c r="Z28" s="6" t="s">
        <v>242</v>
      </c>
      <c r="AA28" s="6"/>
      <c r="AB28" s="6" t="s">
        <v>56</v>
      </c>
      <c r="AD28" s="104" t="str">
        <f>HLOOKUP(Language!$C$3,Language!$E$1:$Z550,80,FALSE)</f>
        <v>6 x  24/48/125/250 V binary inputs and 8 x Form-A binary outputs</v>
      </c>
      <c r="AE28" s="6" t="s">
        <v>242</v>
      </c>
      <c r="AF28" s="6"/>
      <c r="AG28" s="6" t="s">
        <v>56</v>
      </c>
    </row>
    <row r="29" spans="1:33" x14ac:dyDescent="0.2">
      <c r="A29" s="11"/>
      <c r="C29" s="6"/>
      <c r="D29" s="6"/>
      <c r="E29" s="6"/>
      <c r="G29" s="104"/>
      <c r="I29" s="104"/>
      <c r="J29" s="6"/>
      <c r="K29" s="6"/>
      <c r="L29" s="6"/>
      <c r="O29" s="104"/>
      <c r="P29" s="6"/>
      <c r="Q29" s="6"/>
      <c r="R29" s="6"/>
      <c r="T29" s="104" t="str">
        <f>HLOOKUP(Language!$C$3,Language!$E$1:$Z510,12,FALSE)</f>
        <v>Not installed</v>
      </c>
      <c r="U29" s="6" t="s">
        <v>105</v>
      </c>
      <c r="V29" s="6"/>
      <c r="W29" s="6" t="s">
        <v>56</v>
      </c>
      <c r="Y29" s="104" t="str">
        <f>HLOOKUP(Language!$C$3,Language!$E$1:$Z510,12,FALSE)</f>
        <v>Not installed</v>
      </c>
      <c r="Z29" s="6" t="s">
        <v>105</v>
      </c>
      <c r="AA29" s="6"/>
      <c r="AB29" s="6" t="s">
        <v>56</v>
      </c>
      <c r="AD29" s="104" t="str">
        <f>HLOOKUP(Language!$C$3,Language!$E$1:$Z510,12,FALSE)</f>
        <v>Not installed</v>
      </c>
      <c r="AE29" s="6" t="s">
        <v>105</v>
      </c>
      <c r="AF29" s="6"/>
      <c r="AG29" s="6" t="s">
        <v>56</v>
      </c>
    </row>
    <row r="30" spans="1:33" x14ac:dyDescent="0.2">
      <c r="A30" s="11"/>
      <c r="C30" s="6"/>
      <c r="D30" s="6"/>
      <c r="E30" s="6"/>
      <c r="G30" s="104"/>
      <c r="I30" s="104"/>
      <c r="J30" s="6"/>
      <c r="K30" s="6"/>
      <c r="L30" s="6"/>
      <c r="O30" s="104"/>
      <c r="P30" s="6"/>
      <c r="Q30" s="6"/>
      <c r="R30" s="6"/>
      <c r="T30" s="104"/>
      <c r="U30" s="6"/>
      <c r="V30" s="6"/>
      <c r="W30" s="6"/>
      <c r="Y30" s="104"/>
      <c r="Z30" s="6"/>
      <c r="AA30" s="6"/>
      <c r="AB30" s="6"/>
      <c r="AD30" s="104"/>
      <c r="AE30" s="6"/>
      <c r="AF30" s="6"/>
      <c r="AG30" s="6"/>
    </row>
    <row r="31" spans="1:33" x14ac:dyDescent="0.2">
      <c r="A31" s="11"/>
      <c r="C31" s="6"/>
      <c r="D31" s="6"/>
      <c r="E31" s="6"/>
      <c r="G31" s="104"/>
      <c r="I31" s="104"/>
      <c r="J31" s="6"/>
      <c r="K31" s="6"/>
      <c r="L31" s="6"/>
      <c r="O31" s="104"/>
      <c r="P31" s="6"/>
      <c r="Q31" s="6"/>
      <c r="R31" s="6"/>
      <c r="T31" s="104"/>
      <c r="U31" s="6"/>
      <c r="V31" s="6"/>
      <c r="W31" s="6"/>
      <c r="Y31" s="104"/>
      <c r="Z31" s="6"/>
      <c r="AA31" s="6"/>
      <c r="AB31" s="6"/>
      <c r="AD31" s="104"/>
      <c r="AE31" s="6"/>
      <c r="AF31" s="6"/>
      <c r="AG31" s="6"/>
    </row>
    <row r="32" spans="1:33" x14ac:dyDescent="0.2">
      <c r="A32" s="11"/>
      <c r="C32" s="6"/>
      <c r="D32" s="6"/>
      <c r="E32" s="6"/>
      <c r="G32" s="104"/>
      <c r="I32" s="104"/>
      <c r="J32" s="6"/>
      <c r="K32" s="6"/>
      <c r="L32" s="6"/>
      <c r="O32" s="104"/>
      <c r="P32" s="6"/>
      <c r="Q32" s="6"/>
      <c r="R32" s="6"/>
      <c r="T32" s="104"/>
      <c r="U32" s="6"/>
      <c r="V32" s="6"/>
      <c r="W32" s="6"/>
      <c r="Y32" s="104"/>
      <c r="Z32" s="6"/>
      <c r="AA32" s="6"/>
      <c r="AB32" s="6"/>
      <c r="AD32" s="104"/>
      <c r="AE32" s="6"/>
      <c r="AF32" s="6"/>
      <c r="AG32" s="6"/>
    </row>
    <row r="33" spans="1:33" x14ac:dyDescent="0.2">
      <c r="A33" s="11"/>
      <c r="C33" s="8"/>
      <c r="D33" s="8"/>
      <c r="E33" s="8"/>
      <c r="F33" s="95"/>
      <c r="G33" s="8"/>
      <c r="I33" s="8"/>
      <c r="J33" s="8"/>
      <c r="K33" s="8"/>
      <c r="L33" s="8"/>
      <c r="O33" s="8"/>
      <c r="P33" s="8"/>
      <c r="Q33" s="8"/>
      <c r="R33" s="8"/>
      <c r="T33" s="8"/>
      <c r="U33" s="8"/>
      <c r="V33" s="8"/>
      <c r="W33" s="8"/>
      <c r="Y33" s="8"/>
      <c r="Z33" s="8"/>
      <c r="AA33" s="8"/>
      <c r="AB33" s="8"/>
      <c r="AD33" s="8"/>
      <c r="AE33" s="8"/>
      <c r="AF33" s="8"/>
      <c r="AG33" s="8"/>
    </row>
    <row r="34" spans="1:33" x14ac:dyDescent="0.2">
      <c r="A34" s="11"/>
      <c r="C34" s="8"/>
      <c r="D34" s="8"/>
      <c r="E34" s="8"/>
      <c r="F34" s="95"/>
      <c r="G34" s="8"/>
      <c r="I34" s="8"/>
      <c r="J34" s="8"/>
      <c r="K34" s="8"/>
      <c r="L34" s="8"/>
      <c r="O34" s="8"/>
      <c r="P34" s="8"/>
      <c r="Q34" s="8"/>
      <c r="R34" s="8"/>
      <c r="T34" s="8"/>
      <c r="U34" s="8"/>
      <c r="V34" s="8"/>
      <c r="W34" s="8"/>
      <c r="Y34" s="8"/>
      <c r="Z34" s="8"/>
      <c r="AA34" s="8"/>
      <c r="AB34" s="8"/>
      <c r="AD34" s="8"/>
      <c r="AE34" s="8"/>
      <c r="AF34" s="8"/>
      <c r="AG34" s="8"/>
    </row>
    <row r="35" spans="1:33" x14ac:dyDescent="0.2">
      <c r="A35" s="11"/>
      <c r="C35" s="8"/>
      <c r="D35" s="8"/>
      <c r="E35" s="8"/>
      <c r="F35" s="95"/>
      <c r="G35" s="8"/>
      <c r="I35" s="8"/>
      <c r="J35" s="8"/>
      <c r="K35" s="8"/>
      <c r="L35" s="8"/>
      <c r="O35" s="8"/>
      <c r="P35" s="8"/>
      <c r="Q35" s="8"/>
      <c r="R35" s="8"/>
      <c r="T35" s="8"/>
      <c r="U35" s="8"/>
      <c r="V35" s="8"/>
      <c r="W35" s="8"/>
      <c r="Y35" s="8"/>
      <c r="Z35" s="8"/>
      <c r="AA35" s="8"/>
      <c r="AB35" s="8"/>
      <c r="AD35" s="8"/>
      <c r="AE35" s="8"/>
      <c r="AF35" s="8"/>
      <c r="AG35" s="8"/>
    </row>
    <row r="36" spans="1:33" x14ac:dyDescent="0.2">
      <c r="A36" s="11"/>
      <c r="C36" s="8"/>
      <c r="D36" s="8"/>
      <c r="E36" s="8"/>
      <c r="F36" s="95"/>
      <c r="G36" s="8"/>
      <c r="I36" s="8"/>
      <c r="J36" s="8"/>
      <c r="K36" s="8"/>
      <c r="L36" s="8"/>
      <c r="O36" s="8"/>
      <c r="P36" s="8"/>
      <c r="Q36" s="8"/>
      <c r="R36" s="8"/>
      <c r="T36" s="8"/>
      <c r="U36" s="8"/>
      <c r="V36" s="8"/>
      <c r="W36" s="8"/>
      <c r="Y36" s="8"/>
      <c r="Z36" s="8"/>
      <c r="AA36" s="8"/>
      <c r="AB36" s="8"/>
      <c r="AD36" s="8"/>
      <c r="AE36" s="8"/>
      <c r="AF36" s="8"/>
      <c r="AG36" s="8"/>
    </row>
    <row r="37" spans="1:33" x14ac:dyDescent="0.2">
      <c r="A37" s="10">
        <v>5</v>
      </c>
      <c r="B37" s="4" t="str">
        <f>HLOOKUP(Language!$C$3,Language!$E$1:$Z564,14,FALSE)</f>
        <v>Slot E -  Flexible I/O Options</v>
      </c>
      <c r="C37" s="10" t="str">
        <f>HLOOKUP(Language!$C$3,Language!$E$1:$Z516,15,FALSE)</f>
        <v>16 x 24/48/125/250 V binary inputs</v>
      </c>
      <c r="D37" s="10" t="s">
        <v>103</v>
      </c>
      <c r="E37" s="10"/>
      <c r="F37" s="14" t="s">
        <v>56</v>
      </c>
      <c r="G37" s="11"/>
      <c r="I37" s="10" t="str">
        <f>HLOOKUP(Language!$C$3,Language!$E$1:$Z516,15,FALSE)</f>
        <v>16 x 24/48/125/250 V binary inputs</v>
      </c>
      <c r="J37" s="10" t="s">
        <v>103</v>
      </c>
      <c r="K37" s="10"/>
      <c r="L37" s="10" t="s">
        <v>56</v>
      </c>
      <c r="O37" s="10" t="str">
        <f>HLOOKUP(Language!$C$3,Language!$E$1:$Z516,15,FALSE)</f>
        <v>16 x 24/48/125/250 V binary inputs</v>
      </c>
      <c r="P37" s="10" t="s">
        <v>103</v>
      </c>
      <c r="Q37" s="10"/>
      <c r="R37" s="10" t="s">
        <v>56</v>
      </c>
      <c r="T37" s="9" t="str">
        <f>HLOOKUP(Language!$C$3,Language!$E$1:$Z520,10,FALSE)</f>
        <v>16 x 24/48/125/250 V binary inputs</v>
      </c>
      <c r="U37" s="9" t="s">
        <v>103</v>
      </c>
      <c r="V37" s="10"/>
      <c r="W37" s="10" t="s">
        <v>56</v>
      </c>
      <c r="Y37" s="9" t="str">
        <f>HLOOKUP(Language!$C$3,Language!$E$1:$Z520,10,FALSE)</f>
        <v>16 x 24/48/125/250 V binary inputs</v>
      </c>
      <c r="Z37" s="9" t="s">
        <v>103</v>
      </c>
      <c r="AA37" s="10"/>
      <c r="AB37" s="10" t="s">
        <v>56</v>
      </c>
      <c r="AD37" s="9" t="str">
        <f>HLOOKUP(Language!$C$3,Language!$E$1:$Z520,10,FALSE)</f>
        <v>16 x 24/48/125/250 V binary inputs</v>
      </c>
      <c r="AE37" s="9" t="s">
        <v>103</v>
      </c>
      <c r="AF37" s="10"/>
      <c r="AG37" s="10" t="s">
        <v>56</v>
      </c>
    </row>
    <row r="38" spans="1:33" x14ac:dyDescent="0.2">
      <c r="A38" s="11"/>
      <c r="B38" s="17"/>
      <c r="C38" s="13" t="str">
        <f>HLOOKUP(Language!$C$3,Language!$E$1:$Z516,16,FALSE)</f>
        <v>6 x  24/48/125/250 V binary inputs and 8 x binary outputs</v>
      </c>
      <c r="D38" s="13" t="s">
        <v>104</v>
      </c>
      <c r="E38" s="13"/>
      <c r="F38" s="97" t="s">
        <v>56</v>
      </c>
      <c r="G38" s="11"/>
      <c r="I38" s="11" t="str">
        <f>HLOOKUP(Language!$C$3,Language!$E$1:$Z516,16,FALSE)</f>
        <v>6 x  24/48/125/250 V binary inputs and 8 x binary outputs</v>
      </c>
      <c r="J38" s="13" t="s">
        <v>104</v>
      </c>
      <c r="K38" s="13"/>
      <c r="L38" s="13" t="s">
        <v>56</v>
      </c>
      <c r="O38" s="11" t="str">
        <f>HLOOKUP(Language!$C$3,Language!$E$1:$Z516,16,FALSE)</f>
        <v>6 x  24/48/125/250 V binary inputs and 8 x binary outputs</v>
      </c>
      <c r="P38" s="13" t="s">
        <v>104</v>
      </c>
      <c r="Q38" s="13"/>
      <c r="R38" s="13" t="s">
        <v>56</v>
      </c>
      <c r="T38" s="104" t="str">
        <f>HLOOKUP(Language!$C$3,Language!$E$1:$Z520,11,FALSE)</f>
        <v>6 x  24/48/125/250 V binary inputs and 8 x binary outputs</v>
      </c>
      <c r="U38" s="6" t="s">
        <v>104</v>
      </c>
      <c r="V38" s="13"/>
      <c r="W38" s="13" t="s">
        <v>56</v>
      </c>
      <c r="Y38" s="104" t="str">
        <f>HLOOKUP(Language!$C$3,Language!$E$1:$Z520,11,FALSE)</f>
        <v>6 x  24/48/125/250 V binary inputs and 8 x binary outputs</v>
      </c>
      <c r="Z38" s="6" t="s">
        <v>104</v>
      </c>
      <c r="AA38" s="13"/>
      <c r="AB38" s="13" t="s">
        <v>56</v>
      </c>
      <c r="AD38" s="104" t="str">
        <f>HLOOKUP(Language!$C$3,Language!$E$1:$Z520,11,FALSE)</f>
        <v>6 x  24/48/125/250 V binary inputs and 8 x binary outputs</v>
      </c>
      <c r="AE38" s="6" t="s">
        <v>104</v>
      </c>
      <c r="AF38" s="13"/>
      <c r="AG38" s="13" t="s">
        <v>56</v>
      </c>
    </row>
    <row r="39" spans="1:33" x14ac:dyDescent="0.2">
      <c r="A39" s="11"/>
      <c r="B39" s="17"/>
      <c r="C39" s="13" t="str">
        <f>HLOOKUP(Language!$C$3,Language!$E$1:$Z516,17,FALSE)</f>
        <v>4 x VT 115 V and 4 CT 1/5 A RMS measurement analog inputs</v>
      </c>
      <c r="D39" s="13" t="s">
        <v>106</v>
      </c>
      <c r="E39" s="13"/>
      <c r="F39" s="97" t="s">
        <v>56</v>
      </c>
      <c r="G39" s="11"/>
      <c r="I39" s="11" t="str">
        <f>HLOOKUP(Language!$C$3,Language!$E$1:$Z516,17,FALSE)</f>
        <v>4 x VT 115 V and 4 CT 1/5 A RMS measurement analog inputs</v>
      </c>
      <c r="J39" s="13" t="s">
        <v>106</v>
      </c>
      <c r="K39" s="13"/>
      <c r="L39" s="13" t="s">
        <v>56</v>
      </c>
      <c r="O39" s="11" t="str">
        <f>HLOOKUP(Language!$C$3,Language!$E$1:$Z516,17,FALSE)</f>
        <v>4 x VT 115 V and 4 CT 1/5 A RMS measurement analog inputs</v>
      </c>
      <c r="P39" s="13" t="s">
        <v>106</v>
      </c>
      <c r="Q39" s="13"/>
      <c r="R39" s="13" t="s">
        <v>56</v>
      </c>
      <c r="T39" s="104" t="str">
        <f>HLOOKUP(Language!$C$3,Language!$E$1:$Z520,10,FALSE)</f>
        <v>16 x 24/48/125/250 V binary inputs</v>
      </c>
      <c r="U39" s="6" t="s">
        <v>241</v>
      </c>
      <c r="V39" s="13"/>
      <c r="W39" s="13" t="s">
        <v>56</v>
      </c>
      <c r="Y39" s="104" t="str">
        <f>HLOOKUP(Language!$C$3,Language!$E$1:$Z520,10,FALSE)</f>
        <v>16 x 24/48/125/250 V binary inputs</v>
      </c>
      <c r="Z39" s="6" t="s">
        <v>241</v>
      </c>
      <c r="AA39" s="13"/>
      <c r="AB39" s="13" t="s">
        <v>56</v>
      </c>
      <c r="AD39" s="104" t="str">
        <f>HLOOKUP(Language!$C$3,Language!$E$1:$Z520,10,FALSE)</f>
        <v>16 x 24/48/125/250 V binary inputs</v>
      </c>
      <c r="AE39" s="6" t="s">
        <v>241</v>
      </c>
      <c r="AF39" s="13"/>
      <c r="AG39" s="13" t="s">
        <v>56</v>
      </c>
    </row>
    <row r="40" spans="1:33" x14ac:dyDescent="0.2">
      <c r="A40" s="11"/>
      <c r="B40" s="17"/>
      <c r="C40" s="13" t="str">
        <f>HLOOKUP(Language!$C$3,Language!$E$1:$Z533,68,FALSE)</f>
        <v>4 x VT 115 V and 4 x CT 1 A RMS protection analog inputs</v>
      </c>
      <c r="D40" s="13" t="s">
        <v>107</v>
      </c>
      <c r="E40" s="13"/>
      <c r="F40" s="97" t="s">
        <v>56</v>
      </c>
      <c r="G40" s="11"/>
      <c r="I40" s="11" t="str">
        <f>HLOOKUP(Language!$C$3,Language!$E$1:$Z533,68,FALSE)</f>
        <v>4 x VT 115 V and 4 x CT 1 A RMS protection analog inputs</v>
      </c>
      <c r="J40" s="13" t="s">
        <v>107</v>
      </c>
      <c r="K40" s="13"/>
      <c r="L40" s="13" t="s">
        <v>56</v>
      </c>
      <c r="O40" s="11" t="str">
        <f>HLOOKUP(Language!$C$3,Language!$E$1:$Z533,68,FALSE)</f>
        <v>4 x VT 115 V and 4 x CT 1 A RMS protection analog inputs</v>
      </c>
      <c r="P40" s="13" t="s">
        <v>107</v>
      </c>
      <c r="Q40" s="13"/>
      <c r="R40" s="13" t="s">
        <v>56</v>
      </c>
      <c r="T40" s="104" t="str">
        <f>HLOOKUP(Language!$C$3,Language!$E$1:$Z550,80,FALSE)</f>
        <v>6 x  24/48/125/250 V binary inputs and 8 x Form-A binary outputs</v>
      </c>
      <c r="U40" s="6" t="s">
        <v>242</v>
      </c>
      <c r="V40" s="13"/>
      <c r="W40" s="13" t="s">
        <v>56</v>
      </c>
      <c r="Y40" s="104" t="str">
        <f>HLOOKUP(Language!$C$3,Language!$E$1:$Z550,80,FALSE)</f>
        <v>6 x  24/48/125/250 V binary inputs and 8 x Form-A binary outputs</v>
      </c>
      <c r="Z40" s="6" t="s">
        <v>242</v>
      </c>
      <c r="AA40" s="13"/>
      <c r="AB40" s="13" t="s">
        <v>56</v>
      </c>
      <c r="AD40" s="104" t="str">
        <f>HLOOKUP(Language!$C$3,Language!$E$1:$Z550,80,FALSE)</f>
        <v>6 x  24/48/125/250 V binary inputs and 8 x Form-A binary outputs</v>
      </c>
      <c r="AE40" s="6" t="s">
        <v>242</v>
      </c>
      <c r="AF40" s="13"/>
      <c r="AG40" s="13" t="s">
        <v>56</v>
      </c>
    </row>
    <row r="41" spans="1:33" x14ac:dyDescent="0.2">
      <c r="A41" s="11"/>
      <c r="B41" s="17"/>
      <c r="C41" s="13" t="str">
        <f>HLOOKUP(Language!$C$3,Language!$E$1:$Z534,69,FALSE)</f>
        <v>4 x VT 115V and 4 x CT 5 A RMS protection analog inputs</v>
      </c>
      <c r="D41" s="13" t="s">
        <v>108</v>
      </c>
      <c r="E41" s="13"/>
      <c r="F41" s="97"/>
      <c r="G41" s="11"/>
      <c r="I41" s="11" t="str">
        <f>HLOOKUP(Language!$C$3,Language!$E$1:$Z534,69,FALSE)</f>
        <v>4 x VT 115V and 4 x CT 5 A RMS protection analog inputs</v>
      </c>
      <c r="J41" s="13" t="s">
        <v>108</v>
      </c>
      <c r="K41" s="13"/>
      <c r="L41" s="13"/>
      <c r="O41" s="11" t="str">
        <f>HLOOKUP(Language!$C$3,Language!$E$1:$Z534,69,FALSE)</f>
        <v>4 x VT 115V and 4 x CT 5 A RMS protection analog inputs</v>
      </c>
      <c r="P41" s="13" t="s">
        <v>108</v>
      </c>
      <c r="Q41" s="13"/>
      <c r="R41" s="13"/>
      <c r="T41" s="11" t="str">
        <f>HLOOKUP(Language!$C$3,Language!$E$1:$Z518,17,FALSE)</f>
        <v>4 x VT 115 V and 4 CT 1/5 A RMS measurement analog inputs</v>
      </c>
      <c r="U41" s="13" t="s">
        <v>106</v>
      </c>
      <c r="V41" s="13"/>
      <c r="W41" s="13" t="s">
        <v>56</v>
      </c>
      <c r="Y41" s="11" t="str">
        <f>HLOOKUP(Language!$C$3,Language!$E$1:$Z518,17,FALSE)</f>
        <v>4 x VT 115 V and 4 CT 1/5 A RMS measurement analog inputs</v>
      </c>
      <c r="Z41" s="13" t="s">
        <v>106</v>
      </c>
      <c r="AA41" s="13"/>
      <c r="AB41" s="13" t="s">
        <v>56</v>
      </c>
      <c r="AD41" s="11" t="str">
        <f>HLOOKUP(Language!$C$3,Language!$E$1:$Z518,17,FALSE)</f>
        <v>4 x VT 115 V and 4 CT 1/5 A RMS measurement analog inputs</v>
      </c>
      <c r="AE41" s="13" t="s">
        <v>106</v>
      </c>
      <c r="AF41" s="13"/>
      <c r="AG41" s="13" t="s">
        <v>56</v>
      </c>
    </row>
    <row r="42" spans="1:33" x14ac:dyDescent="0.2">
      <c r="A42" s="11"/>
      <c r="B42" s="17"/>
      <c r="C42" s="13" t="str">
        <f>HLOOKUP(Language!$C$3,Language!$E$1:$Z535,70,FALSE)</f>
        <v>4 x ±10 Vdc and 4 x 0-20 mAdc transducer inputs</v>
      </c>
      <c r="D42" s="13" t="s">
        <v>109</v>
      </c>
      <c r="E42" s="13"/>
      <c r="F42" s="97"/>
      <c r="G42" s="11"/>
      <c r="I42" s="11" t="str">
        <f>HLOOKUP(Language!$C$3,Language!$E$1:$Z535,70,FALSE)</f>
        <v>4 x ±10 Vdc and 4 x 0-20 mAdc transducer inputs</v>
      </c>
      <c r="J42" s="13" t="s">
        <v>109</v>
      </c>
      <c r="K42" s="13"/>
      <c r="L42" s="13"/>
      <c r="O42" s="11" t="str">
        <f>HLOOKUP(Language!$C$3,Language!$E$1:$Z535,70,FALSE)</f>
        <v>4 x ±10 Vdc and 4 x 0-20 mAdc transducer inputs</v>
      </c>
      <c r="P42" s="13" t="s">
        <v>109</v>
      </c>
      <c r="Q42" s="13"/>
      <c r="R42" s="13"/>
      <c r="T42" s="11" t="str">
        <f>HLOOKUP(Language!$C$3,Language!$E$1:$Z535,68,FALSE)</f>
        <v>4 x VT 115 V and 4 x CT 1 A RMS protection analog inputs</v>
      </c>
      <c r="U42" s="13" t="s">
        <v>107</v>
      </c>
      <c r="V42" s="13"/>
      <c r="W42" s="13" t="s">
        <v>56</v>
      </c>
      <c r="Y42" s="11" t="str">
        <f>HLOOKUP(Language!$C$3,Language!$E$1:$Z535,68,FALSE)</f>
        <v>4 x VT 115 V and 4 x CT 1 A RMS protection analog inputs</v>
      </c>
      <c r="Z42" s="13" t="s">
        <v>107</v>
      </c>
      <c r="AA42" s="13"/>
      <c r="AB42" s="13" t="s">
        <v>56</v>
      </c>
      <c r="AD42" s="11" t="str">
        <f>HLOOKUP(Language!$C$3,Language!$E$1:$Z535,68,FALSE)</f>
        <v>4 x VT 115 V and 4 x CT 1 A RMS protection analog inputs</v>
      </c>
      <c r="AE42" s="13" t="s">
        <v>107</v>
      </c>
      <c r="AF42" s="13"/>
      <c r="AG42" s="13" t="s">
        <v>56</v>
      </c>
    </row>
    <row r="43" spans="1:33" x14ac:dyDescent="0.2">
      <c r="A43" s="11"/>
      <c r="B43" s="17"/>
      <c r="C43" s="13" t="str">
        <f>HLOOKUP(Language!$C$3,Language!$E$1:$Z536,71,FALSE)</f>
        <v>Not installed</v>
      </c>
      <c r="D43" s="13" t="s">
        <v>105</v>
      </c>
      <c r="E43" s="13"/>
      <c r="F43" s="97"/>
      <c r="G43" s="11"/>
      <c r="I43" s="11" t="str">
        <f>HLOOKUP(Language!$C$3,Language!$E$1:$Z536,71,FALSE)</f>
        <v>Not installed</v>
      </c>
      <c r="J43" s="13" t="s">
        <v>105</v>
      </c>
      <c r="K43" s="13"/>
      <c r="L43" s="13"/>
      <c r="O43" s="11" t="str">
        <f>HLOOKUP(Language!$C$3,Language!$E$1:$Z536,71,FALSE)</f>
        <v>Not installed</v>
      </c>
      <c r="P43" s="13" t="s">
        <v>105</v>
      </c>
      <c r="Q43" s="13"/>
      <c r="R43" s="13"/>
      <c r="T43" s="11" t="str">
        <f>HLOOKUP(Language!$C$3,Language!$E$1:$Z536,69,FALSE)</f>
        <v>4 x VT 115V and 4 x CT 5 A RMS protection analog inputs</v>
      </c>
      <c r="U43" s="13" t="s">
        <v>108</v>
      </c>
      <c r="V43" s="13"/>
      <c r="W43" s="13" t="s">
        <v>56</v>
      </c>
      <c r="Y43" s="11" t="str">
        <f>HLOOKUP(Language!$C$3,Language!$E$1:$Z536,69,FALSE)</f>
        <v>4 x VT 115V and 4 x CT 5 A RMS protection analog inputs</v>
      </c>
      <c r="Z43" s="13" t="s">
        <v>108</v>
      </c>
      <c r="AA43" s="13"/>
      <c r="AB43" s="13" t="s">
        <v>56</v>
      </c>
      <c r="AD43" s="11" t="str">
        <f>HLOOKUP(Language!$C$3,Language!$E$1:$Z536,69,FALSE)</f>
        <v>4 x VT 115V and 4 x CT 5 A RMS protection analog inputs</v>
      </c>
      <c r="AE43" s="13" t="s">
        <v>108</v>
      </c>
      <c r="AF43" s="13"/>
      <c r="AG43" s="13" t="s">
        <v>56</v>
      </c>
    </row>
    <row r="44" spans="1:33" x14ac:dyDescent="0.2">
      <c r="A44" s="11"/>
      <c r="B44" s="17"/>
      <c r="C44" s="13"/>
      <c r="D44" s="13"/>
      <c r="E44" s="13"/>
      <c r="F44" s="97"/>
      <c r="G44" s="11"/>
      <c r="I44" s="11"/>
      <c r="J44" s="13"/>
      <c r="K44" s="13"/>
      <c r="L44" s="13"/>
      <c r="O44" s="11"/>
      <c r="P44" s="13"/>
      <c r="Q44" s="13"/>
      <c r="R44" s="13"/>
      <c r="T44" s="11" t="str">
        <f>HLOOKUP(Language!$C$3,Language!$E$1:$Z537,70,FALSE)</f>
        <v>4 x ±10 Vdc and 4 x 0-20 mAdc transducer inputs</v>
      </c>
      <c r="U44" s="13" t="s">
        <v>109</v>
      </c>
      <c r="V44" s="13"/>
      <c r="W44" s="13" t="s">
        <v>56</v>
      </c>
      <c r="Y44" s="11" t="str">
        <f>HLOOKUP(Language!$C$3,Language!$E$1:$Z537,70,FALSE)</f>
        <v>4 x ±10 Vdc and 4 x 0-20 mAdc transducer inputs</v>
      </c>
      <c r="Z44" s="13" t="s">
        <v>109</v>
      </c>
      <c r="AA44" s="13"/>
      <c r="AB44" s="13" t="s">
        <v>56</v>
      </c>
      <c r="AD44" s="11" t="str">
        <f>HLOOKUP(Language!$C$3,Language!$E$1:$Z537,70,FALSE)</f>
        <v>4 x ±10 Vdc and 4 x 0-20 mAdc transducer inputs</v>
      </c>
      <c r="AE44" s="13" t="s">
        <v>109</v>
      </c>
      <c r="AF44" s="13"/>
      <c r="AG44" s="13" t="s">
        <v>56</v>
      </c>
    </row>
    <row r="45" spans="1:33" x14ac:dyDescent="0.2">
      <c r="A45" s="11"/>
      <c r="B45" s="17"/>
      <c r="C45" s="13"/>
      <c r="D45" s="13"/>
      <c r="E45" s="13"/>
      <c r="F45" s="97"/>
      <c r="G45" s="11"/>
      <c r="I45" s="11"/>
      <c r="J45" s="13"/>
      <c r="K45" s="13"/>
      <c r="L45" s="13"/>
      <c r="O45" s="11"/>
      <c r="P45" s="13"/>
      <c r="Q45" s="13"/>
      <c r="R45" s="13"/>
      <c r="T45" s="11" t="str">
        <f>HLOOKUP(Language!$C$3,Language!$E$1:$Z538,71,FALSE)</f>
        <v>Not installed</v>
      </c>
      <c r="U45" s="13" t="s">
        <v>105</v>
      </c>
      <c r="V45" s="13"/>
      <c r="W45" s="13" t="s">
        <v>56</v>
      </c>
      <c r="Y45" s="11" t="str">
        <f>HLOOKUP(Language!$C$3,Language!$E$1:$Z538,71,FALSE)</f>
        <v>Not installed</v>
      </c>
      <c r="Z45" s="13" t="s">
        <v>105</v>
      </c>
      <c r="AA45" s="13"/>
      <c r="AB45" s="13" t="s">
        <v>56</v>
      </c>
      <c r="AD45" s="11" t="str">
        <f>HLOOKUP(Language!$C$3,Language!$E$1:$Z538,71,FALSE)</f>
        <v>Not installed</v>
      </c>
      <c r="AE45" s="13" t="s">
        <v>105</v>
      </c>
      <c r="AF45" s="13"/>
      <c r="AG45" s="13" t="s">
        <v>56</v>
      </c>
    </row>
    <row r="46" spans="1:33" x14ac:dyDescent="0.2">
      <c r="A46" s="11"/>
      <c r="B46" s="17"/>
      <c r="C46" s="13"/>
      <c r="D46" s="13"/>
      <c r="E46" s="13"/>
      <c r="F46" s="97"/>
      <c r="G46" s="11"/>
      <c r="I46" s="11"/>
      <c r="J46" s="13"/>
      <c r="K46" s="13"/>
      <c r="L46" s="13"/>
      <c r="O46" s="11"/>
      <c r="P46" s="13"/>
      <c r="Q46" s="13"/>
      <c r="R46" s="13"/>
      <c r="T46" s="11"/>
      <c r="U46" s="13"/>
      <c r="V46" s="13"/>
      <c r="W46" s="13"/>
      <c r="Y46" s="11"/>
      <c r="Z46" s="13"/>
      <c r="AA46" s="13"/>
      <c r="AB46" s="13"/>
      <c r="AD46" s="11"/>
      <c r="AE46" s="13"/>
      <c r="AF46" s="13"/>
      <c r="AG46" s="13"/>
    </row>
    <row r="47" spans="1:33" x14ac:dyDescent="0.2">
      <c r="A47" s="11"/>
      <c r="B47" s="17"/>
      <c r="C47" s="13"/>
      <c r="D47" s="13"/>
      <c r="E47" s="13"/>
      <c r="F47" s="97"/>
      <c r="G47" s="11"/>
      <c r="I47" s="11"/>
      <c r="J47" s="13"/>
      <c r="K47" s="13"/>
      <c r="L47" s="13"/>
      <c r="O47" s="11"/>
      <c r="P47" s="13"/>
      <c r="Q47" s="13"/>
      <c r="R47" s="13"/>
      <c r="T47" s="11"/>
      <c r="U47" s="13"/>
      <c r="V47" s="13"/>
      <c r="W47" s="13"/>
      <c r="Y47" s="11"/>
      <c r="Z47" s="13"/>
      <c r="AA47" s="13"/>
      <c r="AB47" s="13"/>
      <c r="AD47" s="11"/>
      <c r="AE47" s="13"/>
      <c r="AF47" s="13"/>
      <c r="AG47" s="13"/>
    </row>
    <row r="48" spans="1:33" x14ac:dyDescent="0.2">
      <c r="A48" s="16"/>
      <c r="C48" s="6"/>
      <c r="D48" s="6"/>
      <c r="E48" s="6"/>
      <c r="G48" s="104"/>
      <c r="I48" s="104"/>
      <c r="J48" s="6"/>
      <c r="K48" s="6"/>
      <c r="L48" s="6"/>
      <c r="O48" s="104"/>
      <c r="P48" s="6"/>
      <c r="Q48" s="6"/>
      <c r="R48" s="6"/>
      <c r="T48" s="104"/>
      <c r="U48" s="6"/>
      <c r="V48" s="6"/>
      <c r="W48" s="6"/>
      <c r="Y48" s="104"/>
      <c r="Z48" s="6"/>
      <c r="AA48" s="6"/>
      <c r="AB48" s="6"/>
      <c r="AD48" s="104"/>
      <c r="AE48" s="6"/>
      <c r="AF48" s="6"/>
      <c r="AG48" s="6"/>
    </row>
    <row r="49" spans="1:33" x14ac:dyDescent="0.2">
      <c r="A49" s="10">
        <v>6</v>
      </c>
      <c r="B49" s="4" t="str">
        <f>HLOOKUP(Language!$C$3,Language!$E$1:$Z564,18,FALSE)</f>
        <v>Slot F - Flexible I/O Options</v>
      </c>
      <c r="C49" s="10" t="str">
        <f>HLOOKUP(Language!$C$3,Language!$E$1:$Z526,15,FALSE)</f>
        <v>16 x 24/48/125/250 V binary inputs</v>
      </c>
      <c r="D49" s="10" t="s">
        <v>103</v>
      </c>
      <c r="E49" s="10"/>
      <c r="F49" s="14" t="s">
        <v>56</v>
      </c>
      <c r="G49" s="11"/>
      <c r="I49" s="10" t="str">
        <f>HLOOKUP(Language!$C$3,Language!$E$1:$Z526,15,FALSE)</f>
        <v>16 x 24/48/125/250 V binary inputs</v>
      </c>
      <c r="J49" s="10" t="s">
        <v>103</v>
      </c>
      <c r="K49" s="10"/>
      <c r="L49" s="10" t="s">
        <v>56</v>
      </c>
      <c r="O49" s="10" t="str">
        <f>HLOOKUP(Language!$C$3,Language!$E$1:$Z526,15,FALSE)</f>
        <v>16 x 24/48/125/250 V binary inputs</v>
      </c>
      <c r="P49" s="10" t="s">
        <v>103</v>
      </c>
      <c r="Q49" s="10"/>
      <c r="R49" s="10" t="s">
        <v>56</v>
      </c>
      <c r="T49" s="9" t="str">
        <f>HLOOKUP(Language!$C$3,Language!$E$1:$Z530,10,FALSE)</f>
        <v>16 x 24/48/125/250 V binary inputs</v>
      </c>
      <c r="U49" s="9" t="s">
        <v>103</v>
      </c>
      <c r="V49" s="10"/>
      <c r="W49" s="10" t="s">
        <v>56</v>
      </c>
      <c r="Y49" s="9" t="str">
        <f>HLOOKUP(Language!$C$3,Language!$E$1:$Z530,10,FALSE)</f>
        <v>16 x 24/48/125/250 V binary inputs</v>
      </c>
      <c r="Z49" s="9" t="s">
        <v>103</v>
      </c>
      <c r="AA49" s="10"/>
      <c r="AB49" s="10" t="s">
        <v>56</v>
      </c>
      <c r="AD49" s="9" t="str">
        <f>HLOOKUP(Language!$C$3,Language!$E$1:$Z530,10,FALSE)</f>
        <v>16 x 24/48/125/250 V binary inputs</v>
      </c>
      <c r="AE49" s="9" t="s">
        <v>103</v>
      </c>
      <c r="AF49" s="10"/>
      <c r="AG49" s="10" t="s">
        <v>56</v>
      </c>
    </row>
    <row r="50" spans="1:33" x14ac:dyDescent="0.2">
      <c r="A50" s="11"/>
      <c r="C50" s="13" t="str">
        <f>HLOOKUP(Language!$C$3,Language!$E$1:$Z526,16,FALSE)</f>
        <v>6 x  24/48/125/250 V binary inputs and 8 x binary outputs</v>
      </c>
      <c r="D50" s="13" t="s">
        <v>104</v>
      </c>
      <c r="E50" s="13"/>
      <c r="F50" s="97" t="s">
        <v>56</v>
      </c>
      <c r="G50" s="11"/>
      <c r="I50" s="11" t="str">
        <f>HLOOKUP(Language!$C$3,Language!$E$1:$Z526,16,FALSE)</f>
        <v>6 x  24/48/125/250 V binary inputs and 8 x binary outputs</v>
      </c>
      <c r="J50" s="13" t="s">
        <v>104</v>
      </c>
      <c r="K50" s="13"/>
      <c r="L50" s="13" t="s">
        <v>56</v>
      </c>
      <c r="O50" s="11" t="str">
        <f>HLOOKUP(Language!$C$3,Language!$E$1:$Z526,16,FALSE)</f>
        <v>6 x  24/48/125/250 V binary inputs and 8 x binary outputs</v>
      </c>
      <c r="P50" s="13" t="s">
        <v>104</v>
      </c>
      <c r="Q50" s="13"/>
      <c r="R50" s="13" t="s">
        <v>56</v>
      </c>
      <c r="T50" s="104" t="str">
        <f>HLOOKUP(Language!$C$3,Language!$E$1:$Z530,11,FALSE)</f>
        <v>6 x  24/48/125/250 V binary inputs and 8 x binary outputs</v>
      </c>
      <c r="U50" s="6" t="s">
        <v>104</v>
      </c>
      <c r="V50" s="13"/>
      <c r="W50" s="13" t="s">
        <v>56</v>
      </c>
      <c r="Y50" s="104" t="str">
        <f>HLOOKUP(Language!$C$3,Language!$E$1:$Z530,11,FALSE)</f>
        <v>6 x  24/48/125/250 V binary inputs and 8 x binary outputs</v>
      </c>
      <c r="Z50" s="6" t="s">
        <v>104</v>
      </c>
      <c r="AA50" s="13"/>
      <c r="AB50" s="13" t="s">
        <v>56</v>
      </c>
      <c r="AD50" s="104" t="str">
        <f>HLOOKUP(Language!$C$3,Language!$E$1:$Z530,11,FALSE)</f>
        <v>6 x  24/48/125/250 V binary inputs and 8 x binary outputs</v>
      </c>
      <c r="AE50" s="6" t="s">
        <v>104</v>
      </c>
      <c r="AF50" s="13"/>
      <c r="AG50" s="13" t="s">
        <v>56</v>
      </c>
    </row>
    <row r="51" spans="1:33" x14ac:dyDescent="0.2">
      <c r="A51" s="11"/>
      <c r="C51" s="13" t="str">
        <f>HLOOKUP(Language!$C$3,Language!$E$1:$Z526,17,FALSE)</f>
        <v>4 x VT 115 V and 4 CT 1/5 A RMS measurement analog inputs</v>
      </c>
      <c r="D51" s="13" t="s">
        <v>106</v>
      </c>
      <c r="E51" s="13"/>
      <c r="F51" s="97" t="s">
        <v>56</v>
      </c>
      <c r="G51" s="11"/>
      <c r="I51" s="11" t="str">
        <f>HLOOKUP(Language!$C$3,Language!$E$1:$Z526,17,FALSE)</f>
        <v>4 x VT 115 V and 4 CT 1/5 A RMS measurement analog inputs</v>
      </c>
      <c r="J51" s="13" t="s">
        <v>106</v>
      </c>
      <c r="K51" s="13"/>
      <c r="L51" s="13" t="s">
        <v>56</v>
      </c>
      <c r="O51" s="11" t="str">
        <f>HLOOKUP(Language!$C$3,Language!$E$1:$Z526,17,FALSE)</f>
        <v>4 x VT 115 V and 4 CT 1/5 A RMS measurement analog inputs</v>
      </c>
      <c r="P51" s="13" t="s">
        <v>106</v>
      </c>
      <c r="Q51" s="13"/>
      <c r="R51" s="13" t="s">
        <v>56</v>
      </c>
      <c r="T51" s="104" t="str">
        <f>HLOOKUP(Language!$C$3,Language!$E$1:$Z530,10,FALSE)</f>
        <v>16 x 24/48/125/250 V binary inputs</v>
      </c>
      <c r="U51" s="6" t="s">
        <v>241</v>
      </c>
      <c r="V51" s="13"/>
      <c r="W51" s="13" t="s">
        <v>56</v>
      </c>
      <c r="Y51" s="104" t="str">
        <f>HLOOKUP(Language!$C$3,Language!$E$1:$Z530,10,FALSE)</f>
        <v>16 x 24/48/125/250 V binary inputs</v>
      </c>
      <c r="Z51" s="6" t="s">
        <v>241</v>
      </c>
      <c r="AA51" s="13"/>
      <c r="AB51" s="13" t="s">
        <v>56</v>
      </c>
      <c r="AD51" s="104" t="str">
        <f>HLOOKUP(Language!$C$3,Language!$E$1:$Z530,10,FALSE)</f>
        <v>16 x 24/48/125/250 V binary inputs</v>
      </c>
      <c r="AE51" s="6" t="s">
        <v>241</v>
      </c>
      <c r="AF51" s="13"/>
      <c r="AG51" s="13" t="s">
        <v>56</v>
      </c>
    </row>
    <row r="52" spans="1:33" x14ac:dyDescent="0.2">
      <c r="A52" s="11"/>
      <c r="C52" s="13" t="str">
        <f>HLOOKUP(Language!$C$3,Language!$E$1:$Z543,68,FALSE)</f>
        <v>4 x VT 115 V and 4 x CT 1 A RMS protection analog inputs</v>
      </c>
      <c r="D52" s="13" t="s">
        <v>107</v>
      </c>
      <c r="E52" s="13"/>
      <c r="F52" s="97" t="s">
        <v>56</v>
      </c>
      <c r="G52" s="11"/>
      <c r="I52" s="11" t="str">
        <f>HLOOKUP(Language!$C$3,Language!$E$1:$Z543,68,FALSE)</f>
        <v>4 x VT 115 V and 4 x CT 1 A RMS protection analog inputs</v>
      </c>
      <c r="J52" s="13" t="s">
        <v>107</v>
      </c>
      <c r="K52" s="13"/>
      <c r="L52" s="13" t="s">
        <v>56</v>
      </c>
      <c r="O52" s="11" t="str">
        <f>HLOOKUP(Language!$C$3,Language!$E$1:$Z543,68,FALSE)</f>
        <v>4 x VT 115 V and 4 x CT 1 A RMS protection analog inputs</v>
      </c>
      <c r="P52" s="13" t="s">
        <v>107</v>
      </c>
      <c r="Q52" s="13"/>
      <c r="R52" s="13" t="s">
        <v>56</v>
      </c>
      <c r="T52" s="104" t="str">
        <f>HLOOKUP(Language!$C$3,Language!$E$1:$Z550,80,FALSE)</f>
        <v>6 x  24/48/125/250 V binary inputs and 8 x Form-A binary outputs</v>
      </c>
      <c r="U52" s="6" t="s">
        <v>242</v>
      </c>
      <c r="V52" s="13"/>
      <c r="W52" s="13" t="s">
        <v>56</v>
      </c>
      <c r="Y52" s="104" t="str">
        <f>HLOOKUP(Language!$C$3,Language!$E$1:$Z550,80,FALSE)</f>
        <v>6 x  24/48/125/250 V binary inputs and 8 x Form-A binary outputs</v>
      </c>
      <c r="Z52" s="6" t="s">
        <v>242</v>
      </c>
      <c r="AA52" s="13"/>
      <c r="AB52" s="13" t="s">
        <v>56</v>
      </c>
      <c r="AD52" s="104" t="str">
        <f>HLOOKUP(Language!$C$3,Language!$E$1:$Z550,80,FALSE)</f>
        <v>6 x  24/48/125/250 V binary inputs and 8 x Form-A binary outputs</v>
      </c>
      <c r="AE52" s="6" t="s">
        <v>242</v>
      </c>
      <c r="AF52" s="13"/>
      <c r="AG52" s="13" t="s">
        <v>56</v>
      </c>
    </row>
    <row r="53" spans="1:33" x14ac:dyDescent="0.2">
      <c r="A53" s="11"/>
      <c r="C53" s="13" t="str">
        <f>HLOOKUP(Language!$C$3,Language!$E$1:$Z544,69,FALSE)</f>
        <v>4 x VT 115V and 4 x CT 5 A RMS protection analog inputs</v>
      </c>
      <c r="D53" s="13" t="s">
        <v>108</v>
      </c>
      <c r="E53" s="13"/>
      <c r="F53" s="97"/>
      <c r="G53" s="11"/>
      <c r="I53" s="11" t="str">
        <f>HLOOKUP(Language!$C$3,Language!$E$1:$Z544,69,FALSE)</f>
        <v>4 x VT 115V and 4 x CT 5 A RMS protection analog inputs</v>
      </c>
      <c r="J53" s="13" t="s">
        <v>108</v>
      </c>
      <c r="K53" s="13"/>
      <c r="L53" s="13"/>
      <c r="O53" s="11" t="str">
        <f>HLOOKUP(Language!$C$3,Language!$E$1:$Z544,69,FALSE)</f>
        <v>4 x VT 115V and 4 x CT 5 A RMS protection analog inputs</v>
      </c>
      <c r="P53" s="13" t="s">
        <v>108</v>
      </c>
      <c r="Q53" s="13"/>
      <c r="R53" s="13"/>
      <c r="T53" s="11" t="str">
        <f>HLOOKUP(Language!$C$3,Language!$E$1:$Z528,17,FALSE)</f>
        <v>4 x VT 115 V and 4 CT 1/5 A RMS measurement analog inputs</v>
      </c>
      <c r="U53" s="13" t="s">
        <v>106</v>
      </c>
      <c r="V53" s="13"/>
      <c r="W53" s="13" t="s">
        <v>56</v>
      </c>
      <c r="Y53" s="11" t="str">
        <f>HLOOKUP(Language!$C$3,Language!$E$1:$Z528,17,FALSE)</f>
        <v>4 x VT 115 V and 4 CT 1/5 A RMS measurement analog inputs</v>
      </c>
      <c r="Z53" s="13" t="s">
        <v>106</v>
      </c>
      <c r="AA53" s="13"/>
      <c r="AB53" s="13" t="s">
        <v>56</v>
      </c>
      <c r="AD53" s="11" t="str">
        <f>HLOOKUP(Language!$C$3,Language!$E$1:$Z528,17,FALSE)</f>
        <v>4 x VT 115 V and 4 CT 1/5 A RMS measurement analog inputs</v>
      </c>
      <c r="AE53" s="13" t="s">
        <v>106</v>
      </c>
      <c r="AF53" s="13"/>
      <c r="AG53" s="13" t="s">
        <v>56</v>
      </c>
    </row>
    <row r="54" spans="1:33" x14ac:dyDescent="0.2">
      <c r="A54" s="11"/>
      <c r="C54" s="13" t="str">
        <f>HLOOKUP(Language!$C$3,Language!$E$1:$Z545,70,FALSE)</f>
        <v>4 x ±10 Vdc and 4 x 0-20 mAdc transducer inputs</v>
      </c>
      <c r="D54" s="13" t="s">
        <v>109</v>
      </c>
      <c r="E54" s="13"/>
      <c r="F54" s="97"/>
      <c r="G54" s="11"/>
      <c r="I54" s="11" t="str">
        <f>HLOOKUP(Language!$C$3,Language!$E$1:$Z545,70,FALSE)</f>
        <v>4 x ±10 Vdc and 4 x 0-20 mAdc transducer inputs</v>
      </c>
      <c r="J54" s="13" t="s">
        <v>109</v>
      </c>
      <c r="K54" s="13"/>
      <c r="L54" s="13"/>
      <c r="O54" s="11" t="str">
        <f>HLOOKUP(Language!$C$3,Language!$E$1:$Z545,70,FALSE)</f>
        <v>4 x ±10 Vdc and 4 x 0-20 mAdc transducer inputs</v>
      </c>
      <c r="P54" s="13" t="s">
        <v>109</v>
      </c>
      <c r="Q54" s="13"/>
      <c r="R54" s="13"/>
      <c r="T54" s="11" t="str">
        <f>HLOOKUP(Language!$C$3,Language!$E$1:$Z545,68,FALSE)</f>
        <v>4 x VT 115 V and 4 x CT 1 A RMS protection analog inputs</v>
      </c>
      <c r="U54" s="13" t="s">
        <v>107</v>
      </c>
      <c r="V54" s="13"/>
      <c r="W54" s="13" t="s">
        <v>56</v>
      </c>
      <c r="Y54" s="11" t="str">
        <f>HLOOKUP(Language!$C$3,Language!$E$1:$Z545,68,FALSE)</f>
        <v>4 x VT 115 V and 4 x CT 1 A RMS protection analog inputs</v>
      </c>
      <c r="Z54" s="13" t="s">
        <v>107</v>
      </c>
      <c r="AA54" s="13"/>
      <c r="AB54" s="13" t="s">
        <v>56</v>
      </c>
      <c r="AD54" s="11" t="str">
        <f>HLOOKUP(Language!$C$3,Language!$E$1:$Z545,68,FALSE)</f>
        <v>4 x VT 115 V and 4 x CT 1 A RMS protection analog inputs</v>
      </c>
      <c r="AE54" s="13" t="s">
        <v>107</v>
      </c>
      <c r="AF54" s="13"/>
      <c r="AG54" s="13" t="s">
        <v>56</v>
      </c>
    </row>
    <row r="55" spans="1:33" x14ac:dyDescent="0.2">
      <c r="A55" s="11"/>
      <c r="C55" s="13" t="str">
        <f>HLOOKUP(Language!$C$3,Language!$E$1:$Z546,71,FALSE)</f>
        <v>Not installed</v>
      </c>
      <c r="D55" s="13" t="s">
        <v>105</v>
      </c>
      <c r="E55" s="13"/>
      <c r="F55" s="97"/>
      <c r="G55" s="11"/>
      <c r="I55" s="11" t="str">
        <f>HLOOKUP(Language!$C$3,Language!$E$1:$Z546,71,FALSE)</f>
        <v>Not installed</v>
      </c>
      <c r="J55" s="13" t="s">
        <v>105</v>
      </c>
      <c r="K55" s="13"/>
      <c r="L55" s="13"/>
      <c r="O55" s="11" t="str">
        <f>HLOOKUP(Language!$C$3,Language!$E$1:$Z546,71,FALSE)</f>
        <v>Not installed</v>
      </c>
      <c r="P55" s="13" t="s">
        <v>105</v>
      </c>
      <c r="Q55" s="13"/>
      <c r="R55" s="13"/>
      <c r="T55" s="11" t="str">
        <f>HLOOKUP(Language!$C$3,Language!$E$1:$Z546,69,FALSE)</f>
        <v>4 x VT 115V and 4 x CT 5 A RMS protection analog inputs</v>
      </c>
      <c r="U55" s="13" t="s">
        <v>108</v>
      </c>
      <c r="V55" s="13"/>
      <c r="W55" s="13" t="s">
        <v>56</v>
      </c>
      <c r="Y55" s="11" t="str">
        <f>HLOOKUP(Language!$C$3,Language!$E$1:$Z546,69,FALSE)</f>
        <v>4 x VT 115V and 4 x CT 5 A RMS protection analog inputs</v>
      </c>
      <c r="Z55" s="13" t="s">
        <v>108</v>
      </c>
      <c r="AA55" s="13"/>
      <c r="AB55" s="13" t="s">
        <v>56</v>
      </c>
      <c r="AD55" s="11" t="str">
        <f>HLOOKUP(Language!$C$3,Language!$E$1:$Z546,69,FALSE)</f>
        <v>4 x VT 115V and 4 x CT 5 A RMS protection analog inputs</v>
      </c>
      <c r="AE55" s="13" t="s">
        <v>108</v>
      </c>
      <c r="AF55" s="13"/>
      <c r="AG55" s="13" t="s">
        <v>56</v>
      </c>
    </row>
    <row r="56" spans="1:33" x14ac:dyDescent="0.2">
      <c r="A56" s="11"/>
      <c r="C56" s="13"/>
      <c r="D56" s="13"/>
      <c r="E56" s="13"/>
      <c r="F56" s="97"/>
      <c r="G56" s="11"/>
      <c r="I56" s="11"/>
      <c r="J56" s="13"/>
      <c r="K56" s="13"/>
      <c r="L56" s="13"/>
      <c r="O56" s="11"/>
      <c r="P56" s="13"/>
      <c r="Q56" s="13"/>
      <c r="R56" s="13"/>
      <c r="T56" s="11" t="str">
        <f>HLOOKUP(Language!$C$3,Language!$E$1:$Z547,70,FALSE)</f>
        <v>4 x ±10 Vdc and 4 x 0-20 mAdc transducer inputs</v>
      </c>
      <c r="U56" s="13" t="s">
        <v>109</v>
      </c>
      <c r="V56" s="13"/>
      <c r="W56" s="13" t="s">
        <v>56</v>
      </c>
      <c r="Y56" s="11" t="str">
        <f>HLOOKUP(Language!$C$3,Language!$E$1:$Z547,70,FALSE)</f>
        <v>4 x ±10 Vdc and 4 x 0-20 mAdc transducer inputs</v>
      </c>
      <c r="Z56" s="13" t="s">
        <v>109</v>
      </c>
      <c r="AA56" s="13"/>
      <c r="AB56" s="13" t="s">
        <v>56</v>
      </c>
      <c r="AD56" s="11" t="str">
        <f>HLOOKUP(Language!$C$3,Language!$E$1:$Z547,70,FALSE)</f>
        <v>4 x ±10 Vdc and 4 x 0-20 mAdc transducer inputs</v>
      </c>
      <c r="AE56" s="13" t="s">
        <v>109</v>
      </c>
      <c r="AF56" s="13"/>
      <c r="AG56" s="13" t="s">
        <v>56</v>
      </c>
    </row>
    <row r="57" spans="1:33" x14ac:dyDescent="0.2">
      <c r="A57" s="11"/>
      <c r="C57" s="13"/>
      <c r="D57" s="13"/>
      <c r="E57" s="13"/>
      <c r="F57" s="97"/>
      <c r="G57" s="11"/>
      <c r="I57" s="11"/>
      <c r="J57" s="13"/>
      <c r="K57" s="13"/>
      <c r="L57" s="13"/>
      <c r="O57" s="11"/>
      <c r="P57" s="13"/>
      <c r="Q57" s="13"/>
      <c r="R57" s="13"/>
      <c r="T57" s="11" t="str">
        <f>HLOOKUP(Language!$C$3,Language!$E$1:$Z548,71,FALSE)</f>
        <v>Not installed</v>
      </c>
      <c r="U57" s="13" t="s">
        <v>105</v>
      </c>
      <c r="V57" s="13"/>
      <c r="W57" s="13" t="s">
        <v>56</v>
      </c>
      <c r="Y57" s="11" t="str">
        <f>HLOOKUP(Language!$C$3,Language!$E$1:$Z548,71,FALSE)</f>
        <v>Not installed</v>
      </c>
      <c r="Z57" s="13" t="s">
        <v>105</v>
      </c>
      <c r="AA57" s="13"/>
      <c r="AB57" s="13" t="s">
        <v>56</v>
      </c>
      <c r="AD57" s="11" t="str">
        <f>HLOOKUP(Language!$C$3,Language!$E$1:$Z548,71,FALSE)</f>
        <v>Not installed</v>
      </c>
      <c r="AE57" s="13" t="s">
        <v>105</v>
      </c>
      <c r="AF57" s="13"/>
      <c r="AG57" s="13" t="s">
        <v>56</v>
      </c>
    </row>
    <row r="58" spans="1:33" x14ac:dyDescent="0.2">
      <c r="A58" s="11"/>
      <c r="C58" s="13"/>
      <c r="D58" s="13"/>
      <c r="E58" s="13"/>
      <c r="F58" s="97"/>
      <c r="G58" s="11"/>
      <c r="I58" s="11"/>
      <c r="J58" s="13"/>
      <c r="K58" s="13"/>
      <c r="L58" s="13"/>
      <c r="O58" s="11"/>
      <c r="P58" s="13"/>
      <c r="Q58" s="13"/>
      <c r="R58" s="13"/>
      <c r="T58" s="11"/>
      <c r="U58" s="13"/>
      <c r="V58" s="13"/>
      <c r="W58" s="13"/>
      <c r="Y58" s="11"/>
      <c r="Z58" s="13"/>
      <c r="AA58" s="13"/>
      <c r="AB58" s="13"/>
      <c r="AD58" s="11"/>
      <c r="AE58" s="13"/>
      <c r="AF58" s="13"/>
      <c r="AG58" s="13"/>
    </row>
    <row r="59" spans="1:33" x14ac:dyDescent="0.2">
      <c r="A59" s="11"/>
      <c r="C59" s="13"/>
      <c r="D59" s="13"/>
      <c r="E59" s="13"/>
      <c r="F59" s="97"/>
      <c r="G59" s="11"/>
      <c r="I59" s="11"/>
      <c r="J59" s="13"/>
      <c r="K59" s="13"/>
      <c r="L59" s="13"/>
      <c r="O59" s="11"/>
      <c r="P59" s="13"/>
      <c r="Q59" s="13"/>
      <c r="R59" s="13"/>
      <c r="T59" s="11"/>
      <c r="U59" s="13"/>
      <c r="V59" s="13"/>
      <c r="W59" s="13"/>
      <c r="Y59" s="11"/>
      <c r="Z59" s="13"/>
      <c r="AA59" s="13"/>
      <c r="AB59" s="13"/>
      <c r="AD59" s="11"/>
      <c r="AE59" s="13"/>
      <c r="AF59" s="13"/>
      <c r="AG59" s="13"/>
    </row>
    <row r="60" spans="1:33" x14ac:dyDescent="0.2">
      <c r="A60" s="16"/>
      <c r="C60" s="13"/>
      <c r="D60" s="13"/>
      <c r="E60" s="13"/>
      <c r="F60" s="97"/>
      <c r="G60" s="11"/>
      <c r="I60" s="11"/>
      <c r="J60" s="13"/>
      <c r="K60" s="13"/>
      <c r="L60" s="13"/>
      <c r="O60" s="11"/>
      <c r="P60" s="13"/>
      <c r="Q60" s="13"/>
      <c r="R60" s="13"/>
      <c r="T60" s="11"/>
      <c r="U60" s="13"/>
      <c r="V60" s="13"/>
      <c r="W60" s="13"/>
      <c r="Y60" s="11"/>
      <c r="Z60" s="13"/>
      <c r="AA60" s="13"/>
      <c r="AB60" s="13"/>
      <c r="AD60" s="11"/>
      <c r="AE60" s="13"/>
      <c r="AF60" s="13"/>
      <c r="AG60" s="13"/>
    </row>
    <row r="61" spans="1:33" x14ac:dyDescent="0.2">
      <c r="A61" s="10">
        <v>7</v>
      </c>
      <c r="B61" s="4" t="str">
        <f>HLOOKUP(Language!$C$3,Language!$E$1:$Z564,19,FALSE)</f>
        <v>Slot G -  Flexible I/O Options</v>
      </c>
      <c r="C61" s="10" t="str">
        <f>HLOOKUP(Language!$C$3,Language!$E$1:$Z536,15,FALSE)</f>
        <v>16 x 24/48/125/250 V binary inputs</v>
      </c>
      <c r="D61" s="10" t="s">
        <v>103</v>
      </c>
      <c r="E61" s="10"/>
      <c r="F61" s="14" t="s">
        <v>56</v>
      </c>
      <c r="G61" s="11"/>
      <c r="I61" s="10" t="str">
        <f>HLOOKUP(Language!$C$3,Language!$E$1:$Z536,15,FALSE)</f>
        <v>16 x 24/48/125/250 V binary inputs</v>
      </c>
      <c r="J61" s="10" t="s">
        <v>103</v>
      </c>
      <c r="K61" s="10"/>
      <c r="L61" s="10" t="s">
        <v>56</v>
      </c>
      <c r="O61" s="10" t="str">
        <f>HLOOKUP(Language!$C$3,Language!$E$1:$Z536,15,FALSE)</f>
        <v>16 x 24/48/125/250 V binary inputs</v>
      </c>
      <c r="P61" s="10" t="s">
        <v>103</v>
      </c>
      <c r="Q61" s="10"/>
      <c r="R61" s="10" t="s">
        <v>56</v>
      </c>
      <c r="T61" s="9" t="str">
        <f>HLOOKUP(Language!$C$3,Language!$E$1:$Z540,10,FALSE)</f>
        <v>16 x 24/48/125/250 V binary inputs</v>
      </c>
      <c r="U61" s="9" t="s">
        <v>103</v>
      </c>
      <c r="V61" s="10"/>
      <c r="W61" s="10" t="s">
        <v>56</v>
      </c>
      <c r="Y61" s="9" t="str">
        <f>HLOOKUP(Language!$C$3,Language!$E$1:$Z540,10,FALSE)</f>
        <v>16 x 24/48/125/250 V binary inputs</v>
      </c>
      <c r="Z61" s="9" t="s">
        <v>103</v>
      </c>
      <c r="AA61" s="10"/>
      <c r="AB61" s="10" t="s">
        <v>56</v>
      </c>
      <c r="AD61" s="9" t="str">
        <f>HLOOKUP(Language!$C$3,Language!$E$1:$Z540,10,FALSE)</f>
        <v>16 x 24/48/125/250 V binary inputs</v>
      </c>
      <c r="AE61" s="9" t="s">
        <v>103</v>
      </c>
      <c r="AF61" s="10"/>
      <c r="AG61" s="10" t="s">
        <v>56</v>
      </c>
    </row>
    <row r="62" spans="1:33" x14ac:dyDescent="0.2">
      <c r="A62" s="11"/>
      <c r="B62" s="17"/>
      <c r="C62" s="13" t="str">
        <f>HLOOKUP(Language!$C$3,Language!$E$1:$Z536,16,FALSE)</f>
        <v>6 x  24/48/125/250 V binary inputs and 8 x binary outputs</v>
      </c>
      <c r="D62" s="13" t="s">
        <v>104</v>
      </c>
      <c r="E62" s="13"/>
      <c r="F62" s="97"/>
      <c r="G62" s="11"/>
      <c r="I62" s="11" t="str">
        <f>HLOOKUP(Language!$C$3,Language!$E$1:$Z536,16,FALSE)</f>
        <v>6 x  24/48/125/250 V binary inputs and 8 x binary outputs</v>
      </c>
      <c r="J62" s="13" t="s">
        <v>104</v>
      </c>
      <c r="K62" s="13"/>
      <c r="L62" s="13"/>
      <c r="O62" s="11" t="str">
        <f>HLOOKUP(Language!$C$3,Language!$E$1:$Z536,16,FALSE)</f>
        <v>6 x  24/48/125/250 V binary inputs and 8 x binary outputs</v>
      </c>
      <c r="P62" s="13" t="s">
        <v>104</v>
      </c>
      <c r="Q62" s="13"/>
      <c r="R62" s="13"/>
      <c r="T62" s="104" t="str">
        <f>HLOOKUP(Language!$C$3,Language!$E$1:$Z540,11,FALSE)</f>
        <v>6 x  24/48/125/250 V binary inputs and 8 x binary outputs</v>
      </c>
      <c r="U62" s="6" t="s">
        <v>104</v>
      </c>
      <c r="V62" s="13"/>
      <c r="W62" s="13" t="s">
        <v>56</v>
      </c>
      <c r="Y62" s="104" t="str">
        <f>HLOOKUP(Language!$C$3,Language!$E$1:$Z540,11,FALSE)</f>
        <v>6 x  24/48/125/250 V binary inputs and 8 x binary outputs</v>
      </c>
      <c r="Z62" s="6" t="s">
        <v>104</v>
      </c>
      <c r="AA62" s="13"/>
      <c r="AB62" s="13" t="s">
        <v>56</v>
      </c>
      <c r="AD62" s="104" t="str">
        <f>HLOOKUP(Language!$C$3,Language!$E$1:$Z540,11,FALSE)</f>
        <v>6 x  24/48/125/250 V binary inputs and 8 x binary outputs</v>
      </c>
      <c r="AE62" s="6" t="s">
        <v>104</v>
      </c>
      <c r="AF62" s="13"/>
      <c r="AG62" s="13" t="s">
        <v>56</v>
      </c>
    </row>
    <row r="63" spans="1:33" x14ac:dyDescent="0.2">
      <c r="A63" s="11"/>
      <c r="B63" s="17"/>
      <c r="C63" s="13" t="str">
        <f>HLOOKUP(Language!$C$3,Language!$E$1:$Z536,17,FALSE)</f>
        <v>4 x VT 115 V and 4 CT 1/5 A RMS measurement analog inputs</v>
      </c>
      <c r="D63" s="13" t="s">
        <v>106</v>
      </c>
      <c r="E63" s="13"/>
      <c r="F63" s="97"/>
      <c r="G63" s="11"/>
      <c r="I63" s="11" t="str">
        <f>HLOOKUP(Language!$C$3,Language!$E$1:$Z536,17,FALSE)</f>
        <v>4 x VT 115 V and 4 CT 1/5 A RMS measurement analog inputs</v>
      </c>
      <c r="J63" s="13" t="s">
        <v>106</v>
      </c>
      <c r="K63" s="13"/>
      <c r="L63" s="13"/>
      <c r="O63" s="11" t="str">
        <f>HLOOKUP(Language!$C$3,Language!$E$1:$Z536,17,FALSE)</f>
        <v>4 x VT 115 V and 4 CT 1/5 A RMS measurement analog inputs</v>
      </c>
      <c r="P63" s="13" t="s">
        <v>106</v>
      </c>
      <c r="Q63" s="13"/>
      <c r="R63" s="13"/>
      <c r="T63" s="104" t="str">
        <f>HLOOKUP(Language!$C$3,Language!$E$1:$Z540,10,FALSE)</f>
        <v>16 x 24/48/125/250 V binary inputs</v>
      </c>
      <c r="U63" s="6" t="s">
        <v>241</v>
      </c>
      <c r="V63" s="13"/>
      <c r="W63" s="13" t="s">
        <v>56</v>
      </c>
      <c r="Y63" s="104" t="str">
        <f>HLOOKUP(Language!$C$3,Language!$E$1:$Z540,10,FALSE)</f>
        <v>16 x 24/48/125/250 V binary inputs</v>
      </c>
      <c r="Z63" s="6" t="s">
        <v>241</v>
      </c>
      <c r="AA63" s="13"/>
      <c r="AB63" s="13" t="s">
        <v>56</v>
      </c>
      <c r="AD63" s="104" t="str">
        <f>HLOOKUP(Language!$C$3,Language!$E$1:$Z540,10,FALSE)</f>
        <v>16 x 24/48/125/250 V binary inputs</v>
      </c>
      <c r="AE63" s="6" t="s">
        <v>241</v>
      </c>
      <c r="AF63" s="13"/>
      <c r="AG63" s="13" t="s">
        <v>56</v>
      </c>
    </row>
    <row r="64" spans="1:33" x14ac:dyDescent="0.2">
      <c r="A64" s="11"/>
      <c r="B64" s="17"/>
      <c r="C64" s="13" t="str">
        <f>HLOOKUP(Language!$C$3,Language!$E$1:$Z553,68,FALSE)</f>
        <v>4 x VT 115 V and 4 x CT 1 A RMS protection analog inputs</v>
      </c>
      <c r="D64" s="13" t="s">
        <v>107</v>
      </c>
      <c r="E64" s="13"/>
      <c r="F64" s="97"/>
      <c r="G64" s="11"/>
      <c r="I64" s="11" t="str">
        <f>HLOOKUP(Language!$C$3,Language!$E$1:$Z553,68,FALSE)</f>
        <v>4 x VT 115 V and 4 x CT 1 A RMS protection analog inputs</v>
      </c>
      <c r="J64" s="13" t="s">
        <v>107</v>
      </c>
      <c r="K64" s="13"/>
      <c r="L64" s="13"/>
      <c r="O64" s="11" t="str">
        <f>HLOOKUP(Language!$C$3,Language!$E$1:$Z553,68,FALSE)</f>
        <v>4 x VT 115 V and 4 x CT 1 A RMS protection analog inputs</v>
      </c>
      <c r="P64" s="13" t="s">
        <v>107</v>
      </c>
      <c r="Q64" s="13"/>
      <c r="R64" s="13"/>
      <c r="T64" s="104" t="str">
        <f>HLOOKUP(Language!$C$3,Language!$E$1:$Z550,80,FALSE)</f>
        <v>6 x  24/48/125/250 V binary inputs and 8 x Form-A binary outputs</v>
      </c>
      <c r="U64" s="6" t="s">
        <v>242</v>
      </c>
      <c r="V64" s="13"/>
      <c r="W64" s="13" t="s">
        <v>56</v>
      </c>
      <c r="Y64" s="104" t="str">
        <f>HLOOKUP(Language!$C$3,Language!$E$1:$Z550,80,FALSE)</f>
        <v>6 x  24/48/125/250 V binary inputs and 8 x Form-A binary outputs</v>
      </c>
      <c r="Z64" s="6" t="s">
        <v>242</v>
      </c>
      <c r="AA64" s="13"/>
      <c r="AB64" s="13" t="s">
        <v>56</v>
      </c>
      <c r="AD64" s="104" t="str">
        <f>HLOOKUP(Language!$C$3,Language!$E$1:$Z550,80,FALSE)</f>
        <v>6 x  24/48/125/250 V binary inputs and 8 x Form-A binary outputs</v>
      </c>
      <c r="AE64" s="6" t="s">
        <v>242</v>
      </c>
      <c r="AF64" s="13"/>
      <c r="AG64" s="13" t="s">
        <v>56</v>
      </c>
    </row>
    <row r="65" spans="1:33" x14ac:dyDescent="0.2">
      <c r="A65" s="11"/>
      <c r="B65" s="17"/>
      <c r="C65" s="13" t="str">
        <f>HLOOKUP(Language!$C$3,Language!$E$1:$Z554,69,FALSE)</f>
        <v>4 x VT 115V and 4 x CT 5 A RMS protection analog inputs</v>
      </c>
      <c r="D65" s="13" t="s">
        <v>108</v>
      </c>
      <c r="E65" s="13"/>
      <c r="F65" s="97"/>
      <c r="G65" s="11"/>
      <c r="I65" s="11" t="str">
        <f>HLOOKUP(Language!$C$3,Language!$E$1:$Z554,69,FALSE)</f>
        <v>4 x VT 115V and 4 x CT 5 A RMS protection analog inputs</v>
      </c>
      <c r="J65" s="13" t="s">
        <v>108</v>
      </c>
      <c r="K65" s="13"/>
      <c r="L65" s="13"/>
      <c r="O65" s="11" t="str">
        <f>HLOOKUP(Language!$C$3,Language!$E$1:$Z554,69,FALSE)</f>
        <v>4 x VT 115V and 4 x CT 5 A RMS protection analog inputs</v>
      </c>
      <c r="P65" s="13" t="s">
        <v>108</v>
      </c>
      <c r="Q65" s="13"/>
      <c r="R65" s="13"/>
      <c r="T65" s="11" t="str">
        <f>HLOOKUP(Language!$C$3,Language!$E$1:$Z538,17,FALSE)</f>
        <v>4 x VT 115 V and 4 CT 1/5 A RMS measurement analog inputs</v>
      </c>
      <c r="U65" s="13" t="s">
        <v>106</v>
      </c>
      <c r="V65" s="13"/>
      <c r="W65" s="13" t="s">
        <v>56</v>
      </c>
      <c r="Y65" s="11" t="str">
        <f>HLOOKUP(Language!$C$3,Language!$E$1:$Z538,17,FALSE)</f>
        <v>4 x VT 115 V and 4 CT 1/5 A RMS measurement analog inputs</v>
      </c>
      <c r="Z65" s="13" t="s">
        <v>106</v>
      </c>
      <c r="AA65" s="13"/>
      <c r="AB65" s="13" t="s">
        <v>56</v>
      </c>
      <c r="AD65" s="11" t="str">
        <f>HLOOKUP(Language!$C$3,Language!$E$1:$Z538,17,FALSE)</f>
        <v>4 x VT 115 V and 4 CT 1/5 A RMS measurement analog inputs</v>
      </c>
      <c r="AE65" s="13" t="s">
        <v>106</v>
      </c>
      <c r="AF65" s="13"/>
      <c r="AG65" s="13" t="s">
        <v>56</v>
      </c>
    </row>
    <row r="66" spans="1:33" x14ac:dyDescent="0.2">
      <c r="A66" s="11"/>
      <c r="B66" s="17"/>
      <c r="C66" s="13" t="str">
        <f>HLOOKUP(Language!$C$3,Language!$E$1:$Z555,70,FALSE)</f>
        <v>4 x ±10 Vdc and 4 x 0-20 mAdc transducer inputs</v>
      </c>
      <c r="D66" s="13" t="s">
        <v>109</v>
      </c>
      <c r="E66" s="13"/>
      <c r="F66" s="97"/>
      <c r="G66" s="11"/>
      <c r="I66" s="11" t="str">
        <f>HLOOKUP(Language!$C$3,Language!$E$1:$Z555,70,FALSE)</f>
        <v>4 x ±10 Vdc and 4 x 0-20 mAdc transducer inputs</v>
      </c>
      <c r="J66" s="13" t="s">
        <v>109</v>
      </c>
      <c r="K66" s="13"/>
      <c r="L66" s="13"/>
      <c r="O66" s="11" t="str">
        <f>HLOOKUP(Language!$C$3,Language!$E$1:$Z555,70,FALSE)</f>
        <v>4 x ±10 Vdc and 4 x 0-20 mAdc transducer inputs</v>
      </c>
      <c r="P66" s="13" t="s">
        <v>109</v>
      </c>
      <c r="Q66" s="13"/>
      <c r="R66" s="13"/>
      <c r="T66" s="11" t="str">
        <f>HLOOKUP(Language!$C$3,Language!$E$1:$Z555,68,FALSE)</f>
        <v>4 x VT 115 V and 4 x CT 1 A RMS protection analog inputs</v>
      </c>
      <c r="U66" s="13" t="s">
        <v>107</v>
      </c>
      <c r="V66" s="13"/>
      <c r="W66" s="13" t="s">
        <v>56</v>
      </c>
      <c r="Y66" s="11" t="str">
        <f>HLOOKUP(Language!$C$3,Language!$E$1:$Z555,68,FALSE)</f>
        <v>4 x VT 115 V and 4 x CT 1 A RMS protection analog inputs</v>
      </c>
      <c r="Z66" s="13" t="s">
        <v>107</v>
      </c>
      <c r="AA66" s="13"/>
      <c r="AB66" s="13" t="s">
        <v>56</v>
      </c>
      <c r="AD66" s="11" t="str">
        <f>HLOOKUP(Language!$C$3,Language!$E$1:$Z555,68,FALSE)</f>
        <v>4 x VT 115 V and 4 x CT 1 A RMS protection analog inputs</v>
      </c>
      <c r="AE66" s="13" t="s">
        <v>107</v>
      </c>
      <c r="AF66" s="13"/>
      <c r="AG66" s="13" t="s">
        <v>56</v>
      </c>
    </row>
    <row r="67" spans="1:33" x14ac:dyDescent="0.2">
      <c r="A67" s="11"/>
      <c r="B67" s="17"/>
      <c r="C67" s="13" t="str">
        <f>HLOOKUP(Language!$C$3,Language!$E$1:$Z556,71,FALSE)</f>
        <v>Not installed</v>
      </c>
      <c r="D67" s="13" t="s">
        <v>105</v>
      </c>
      <c r="E67" s="13"/>
      <c r="F67" s="97"/>
      <c r="G67" s="11"/>
      <c r="I67" s="11" t="str">
        <f>HLOOKUP(Language!$C$3,Language!$E$1:$Z556,71,FALSE)</f>
        <v>Not installed</v>
      </c>
      <c r="J67" s="13" t="s">
        <v>105</v>
      </c>
      <c r="K67" s="13"/>
      <c r="L67" s="13"/>
      <c r="O67" s="11" t="str">
        <f>HLOOKUP(Language!$C$3,Language!$E$1:$Z556,71,FALSE)</f>
        <v>Not installed</v>
      </c>
      <c r="P67" s="13" t="s">
        <v>105</v>
      </c>
      <c r="Q67" s="13"/>
      <c r="R67" s="13"/>
      <c r="T67" s="11" t="str">
        <f>HLOOKUP(Language!$C$3,Language!$E$1:$Z556,69,FALSE)</f>
        <v>4 x VT 115V and 4 x CT 5 A RMS protection analog inputs</v>
      </c>
      <c r="U67" s="13" t="s">
        <v>108</v>
      </c>
      <c r="V67" s="13"/>
      <c r="W67" s="13" t="s">
        <v>56</v>
      </c>
      <c r="Y67" s="11" t="str">
        <f>HLOOKUP(Language!$C$3,Language!$E$1:$Z556,69,FALSE)</f>
        <v>4 x VT 115V and 4 x CT 5 A RMS protection analog inputs</v>
      </c>
      <c r="Z67" s="13" t="s">
        <v>108</v>
      </c>
      <c r="AA67" s="13"/>
      <c r="AB67" s="13" t="s">
        <v>56</v>
      </c>
      <c r="AD67" s="11" t="str">
        <f>HLOOKUP(Language!$C$3,Language!$E$1:$Z556,69,FALSE)</f>
        <v>4 x VT 115V and 4 x CT 5 A RMS protection analog inputs</v>
      </c>
      <c r="AE67" s="13" t="s">
        <v>108</v>
      </c>
      <c r="AF67" s="13"/>
      <c r="AG67" s="13" t="s">
        <v>56</v>
      </c>
    </row>
    <row r="68" spans="1:33" x14ac:dyDescent="0.2">
      <c r="A68" s="11"/>
      <c r="B68" s="17"/>
      <c r="C68" s="13"/>
      <c r="D68" s="13"/>
      <c r="E68" s="13"/>
      <c r="F68" s="97"/>
      <c r="G68" s="11"/>
      <c r="I68" s="11"/>
      <c r="J68" s="13"/>
      <c r="K68" s="13"/>
      <c r="L68" s="13"/>
      <c r="O68" s="11"/>
      <c r="P68" s="13"/>
      <c r="Q68" s="13"/>
      <c r="R68" s="13"/>
      <c r="T68" s="11" t="str">
        <f>HLOOKUP(Language!$C$3,Language!$E$1:$Z557,70,FALSE)</f>
        <v>4 x ±10 Vdc and 4 x 0-20 mAdc transducer inputs</v>
      </c>
      <c r="U68" s="13" t="s">
        <v>109</v>
      </c>
      <c r="V68" s="13"/>
      <c r="W68" s="13" t="s">
        <v>56</v>
      </c>
      <c r="Y68" s="11" t="str">
        <f>HLOOKUP(Language!$C$3,Language!$E$1:$Z557,70,FALSE)</f>
        <v>4 x ±10 Vdc and 4 x 0-20 mAdc transducer inputs</v>
      </c>
      <c r="Z68" s="13" t="s">
        <v>109</v>
      </c>
      <c r="AA68" s="13"/>
      <c r="AB68" s="13" t="s">
        <v>56</v>
      </c>
      <c r="AD68" s="11" t="str">
        <f>HLOOKUP(Language!$C$3,Language!$E$1:$Z557,70,FALSE)</f>
        <v>4 x ±10 Vdc and 4 x 0-20 mAdc transducer inputs</v>
      </c>
      <c r="AE68" s="13" t="s">
        <v>109</v>
      </c>
      <c r="AF68" s="13"/>
      <c r="AG68" s="13" t="s">
        <v>56</v>
      </c>
    </row>
    <row r="69" spans="1:33" x14ac:dyDescent="0.2">
      <c r="A69" s="11"/>
      <c r="B69" s="17"/>
      <c r="C69" s="13"/>
      <c r="D69" s="13"/>
      <c r="E69" s="13"/>
      <c r="F69" s="97"/>
      <c r="G69" s="11"/>
      <c r="I69" s="11"/>
      <c r="J69" s="13"/>
      <c r="K69" s="13"/>
      <c r="L69" s="13"/>
      <c r="O69" s="11"/>
      <c r="P69" s="13"/>
      <c r="Q69" s="13"/>
      <c r="R69" s="13"/>
      <c r="T69" s="11" t="str">
        <f>HLOOKUP(Language!$C$3,Language!$E$1:$Z558,71,FALSE)</f>
        <v>Not installed</v>
      </c>
      <c r="U69" s="13" t="s">
        <v>105</v>
      </c>
      <c r="V69" s="13"/>
      <c r="W69" s="13" t="s">
        <v>56</v>
      </c>
      <c r="Y69" s="11" t="str">
        <f>HLOOKUP(Language!$C$3,Language!$E$1:$Z558,71,FALSE)</f>
        <v>Not installed</v>
      </c>
      <c r="Z69" s="13" t="s">
        <v>105</v>
      </c>
      <c r="AA69" s="13"/>
      <c r="AB69" s="13" t="s">
        <v>56</v>
      </c>
      <c r="AD69" s="11" t="str">
        <f>HLOOKUP(Language!$C$3,Language!$E$1:$Z558,71,FALSE)</f>
        <v>Not installed</v>
      </c>
      <c r="AE69" s="13" t="s">
        <v>105</v>
      </c>
      <c r="AF69" s="13"/>
      <c r="AG69" s="13" t="s">
        <v>56</v>
      </c>
    </row>
    <row r="70" spans="1:33" x14ac:dyDescent="0.2">
      <c r="A70" s="11"/>
      <c r="B70" s="17"/>
      <c r="C70" s="13"/>
      <c r="D70" s="13"/>
      <c r="E70" s="13"/>
      <c r="F70" s="97"/>
      <c r="G70" s="11"/>
      <c r="I70" s="11"/>
      <c r="J70" s="13"/>
      <c r="K70" s="13"/>
      <c r="L70" s="13"/>
      <c r="O70" s="11"/>
      <c r="P70" s="13"/>
      <c r="Q70" s="13"/>
      <c r="R70" s="13"/>
      <c r="T70" s="11"/>
      <c r="U70" s="13"/>
      <c r="V70" s="13"/>
      <c r="W70" s="13"/>
      <c r="Y70" s="11"/>
      <c r="Z70" s="13"/>
      <c r="AA70" s="13"/>
      <c r="AB70" s="13"/>
      <c r="AD70" s="11"/>
      <c r="AE70" s="13"/>
      <c r="AF70" s="13"/>
      <c r="AG70" s="13"/>
    </row>
    <row r="71" spans="1:33" x14ac:dyDescent="0.2">
      <c r="A71" s="11"/>
      <c r="B71" s="17"/>
      <c r="C71" s="13"/>
      <c r="D71" s="13"/>
      <c r="E71" s="13"/>
      <c r="F71" s="97"/>
      <c r="G71" s="11"/>
      <c r="I71" s="11"/>
      <c r="J71" s="13"/>
      <c r="K71" s="13"/>
      <c r="L71" s="13"/>
      <c r="O71" s="11"/>
      <c r="P71" s="13"/>
      <c r="Q71" s="13"/>
      <c r="R71" s="13"/>
      <c r="T71" s="11"/>
      <c r="U71" s="13"/>
      <c r="V71" s="13"/>
      <c r="W71" s="13"/>
      <c r="Y71" s="11"/>
      <c r="Z71" s="13"/>
      <c r="AA71" s="13"/>
      <c r="AB71" s="13"/>
      <c r="AD71" s="11"/>
      <c r="AE71" s="13"/>
      <c r="AF71" s="13"/>
      <c r="AG71" s="13"/>
    </row>
    <row r="72" spans="1:33" x14ac:dyDescent="0.2">
      <c r="A72" s="16"/>
      <c r="C72" s="6"/>
      <c r="D72" s="6"/>
      <c r="E72" s="6"/>
      <c r="G72" s="104"/>
      <c r="I72" s="104"/>
      <c r="J72" s="6"/>
      <c r="K72" s="6"/>
      <c r="L72" s="6"/>
      <c r="O72" s="104"/>
      <c r="P72" s="6"/>
      <c r="Q72" s="6"/>
      <c r="R72" s="6"/>
      <c r="T72" s="104"/>
      <c r="U72" s="6"/>
      <c r="V72" s="6"/>
      <c r="W72" s="6"/>
      <c r="Y72" s="104"/>
      <c r="Z72" s="6"/>
      <c r="AA72" s="6"/>
      <c r="AB72" s="6"/>
      <c r="AD72" s="104"/>
      <c r="AE72" s="6"/>
      <c r="AF72" s="6"/>
      <c r="AG72" s="6"/>
    </row>
    <row r="73" spans="1:33" x14ac:dyDescent="0.2">
      <c r="A73" s="10">
        <v>8</v>
      </c>
      <c r="B73" s="4" t="str">
        <f>HLOOKUP(Language!$C$3,Language!$E$1:$Z564,21,FALSE)</f>
        <v>Slot H -  Flexible I/O Options</v>
      </c>
      <c r="C73" s="10" t="str">
        <f>HLOOKUP(Language!$C$3,Language!$E$1:$Z546,15,FALSE)</f>
        <v>16 x 24/48/125/250 V binary inputs</v>
      </c>
      <c r="D73" s="10" t="s">
        <v>103</v>
      </c>
      <c r="E73" s="10"/>
      <c r="F73" s="14" t="s">
        <v>56</v>
      </c>
      <c r="G73" s="11"/>
      <c r="I73" s="10" t="str">
        <f>HLOOKUP(Language!$C$3,Language!$E$1:$Z546,15,FALSE)</f>
        <v>16 x 24/48/125/250 V binary inputs</v>
      </c>
      <c r="J73" s="10" t="s">
        <v>103</v>
      </c>
      <c r="K73" s="10"/>
      <c r="L73" s="10" t="s">
        <v>56</v>
      </c>
      <c r="O73" s="10" t="str">
        <f>HLOOKUP(Language!$C$3,Language!$E$1:$Z546,15,FALSE)</f>
        <v>16 x 24/48/125/250 V binary inputs</v>
      </c>
      <c r="P73" s="10" t="s">
        <v>103</v>
      </c>
      <c r="Q73" s="10"/>
      <c r="R73" s="10" t="s">
        <v>56</v>
      </c>
      <c r="T73" s="9" t="str">
        <f>HLOOKUP(Language!$C$3,Language!$E$1:$Z550,10,FALSE)</f>
        <v>16 x 24/48/125/250 V binary inputs</v>
      </c>
      <c r="U73" s="9" t="s">
        <v>103</v>
      </c>
      <c r="V73" s="10"/>
      <c r="W73" s="10" t="s">
        <v>56</v>
      </c>
      <c r="Y73" s="9" t="str">
        <f>HLOOKUP(Language!$C$3,Language!$E$1:$Z550,10,FALSE)</f>
        <v>16 x 24/48/125/250 V binary inputs</v>
      </c>
      <c r="Z73" s="9" t="s">
        <v>103</v>
      </c>
      <c r="AA73" s="10"/>
      <c r="AB73" s="10" t="s">
        <v>56</v>
      </c>
      <c r="AD73" s="9" t="str">
        <f>HLOOKUP(Language!$C$3,Language!$E$1:$Z550,10,FALSE)</f>
        <v>16 x 24/48/125/250 V binary inputs</v>
      </c>
      <c r="AE73" s="9" t="s">
        <v>103</v>
      </c>
      <c r="AF73" s="10"/>
      <c r="AG73" s="10" t="s">
        <v>56</v>
      </c>
    </row>
    <row r="74" spans="1:33" x14ac:dyDescent="0.2">
      <c r="A74" s="11"/>
      <c r="B74" s="17"/>
      <c r="C74" s="13" t="str">
        <f>HLOOKUP(Language!$C$3,Language!$E$1:$Z546,16,FALSE)</f>
        <v>6 x  24/48/125/250 V binary inputs and 8 x binary outputs</v>
      </c>
      <c r="D74" s="13" t="s">
        <v>104</v>
      </c>
      <c r="E74" s="13"/>
      <c r="F74" s="97" t="s">
        <v>56</v>
      </c>
      <c r="G74" s="11"/>
      <c r="I74" s="11" t="str">
        <f>HLOOKUP(Language!$C$3,Language!$E$1:$Z546,16,FALSE)</f>
        <v>6 x  24/48/125/250 V binary inputs and 8 x binary outputs</v>
      </c>
      <c r="J74" s="13" t="s">
        <v>104</v>
      </c>
      <c r="K74" s="13"/>
      <c r="L74" s="13" t="s">
        <v>56</v>
      </c>
      <c r="O74" s="11" t="str">
        <f>HLOOKUP(Language!$C$3,Language!$E$1:$Z546,16,FALSE)</f>
        <v>6 x  24/48/125/250 V binary inputs and 8 x binary outputs</v>
      </c>
      <c r="P74" s="13" t="s">
        <v>104</v>
      </c>
      <c r="Q74" s="13"/>
      <c r="R74" s="13" t="s">
        <v>56</v>
      </c>
      <c r="T74" s="104" t="str">
        <f>HLOOKUP(Language!$C$3,Language!$E$1:$Z550,11,FALSE)</f>
        <v>6 x  24/48/125/250 V binary inputs and 8 x binary outputs</v>
      </c>
      <c r="U74" s="6" t="s">
        <v>104</v>
      </c>
      <c r="V74" s="13"/>
      <c r="W74" s="13" t="s">
        <v>56</v>
      </c>
      <c r="Y74" s="104" t="str">
        <f>HLOOKUP(Language!$C$3,Language!$E$1:$Z550,11,FALSE)</f>
        <v>6 x  24/48/125/250 V binary inputs and 8 x binary outputs</v>
      </c>
      <c r="Z74" s="6" t="s">
        <v>104</v>
      </c>
      <c r="AA74" s="13"/>
      <c r="AB74" s="13" t="s">
        <v>56</v>
      </c>
      <c r="AD74" s="104" t="str">
        <f>HLOOKUP(Language!$C$3,Language!$E$1:$Z550,11,FALSE)</f>
        <v>6 x  24/48/125/250 V binary inputs and 8 x binary outputs</v>
      </c>
      <c r="AE74" s="6" t="s">
        <v>104</v>
      </c>
      <c r="AF74" s="13"/>
      <c r="AG74" s="13" t="s">
        <v>56</v>
      </c>
    </row>
    <row r="75" spans="1:33" x14ac:dyDescent="0.2">
      <c r="A75" s="11"/>
      <c r="B75" s="17"/>
      <c r="C75" s="13" t="str">
        <f>HLOOKUP(Language!$C$3,Language!$E$1:$Z546,17,FALSE)</f>
        <v>4 x VT 115 V and 4 CT 1/5 A RMS measurement analog inputs</v>
      </c>
      <c r="D75" s="13" t="s">
        <v>106</v>
      </c>
      <c r="E75" s="13"/>
      <c r="F75" s="97"/>
      <c r="G75" s="11"/>
      <c r="I75" s="11" t="str">
        <f>HLOOKUP(Language!$C$3,Language!$E$1:$Z546,17,FALSE)</f>
        <v>4 x VT 115 V and 4 CT 1/5 A RMS measurement analog inputs</v>
      </c>
      <c r="J75" s="13" t="s">
        <v>106</v>
      </c>
      <c r="K75" s="13"/>
      <c r="L75" s="13"/>
      <c r="O75" s="11" t="str">
        <f>HLOOKUP(Language!$C$3,Language!$E$1:$Z546,17,FALSE)</f>
        <v>4 x VT 115 V and 4 CT 1/5 A RMS measurement analog inputs</v>
      </c>
      <c r="P75" s="13" t="s">
        <v>106</v>
      </c>
      <c r="Q75" s="13"/>
      <c r="R75" s="13"/>
      <c r="T75" s="104" t="str">
        <f>HLOOKUP(Language!$C$3,Language!$E$1:$Z550,10,FALSE)</f>
        <v>16 x 24/48/125/250 V binary inputs</v>
      </c>
      <c r="U75" s="6" t="s">
        <v>241</v>
      </c>
      <c r="V75" s="13"/>
      <c r="W75" s="13" t="s">
        <v>56</v>
      </c>
      <c r="Y75" s="104" t="str">
        <f>HLOOKUP(Language!$C$3,Language!$E$1:$Z550,10,FALSE)</f>
        <v>16 x 24/48/125/250 V binary inputs</v>
      </c>
      <c r="Z75" s="6" t="s">
        <v>241</v>
      </c>
      <c r="AA75" s="13"/>
      <c r="AB75" s="13" t="s">
        <v>56</v>
      </c>
      <c r="AD75" s="104" t="str">
        <f>HLOOKUP(Language!$C$3,Language!$E$1:$Z550,10,FALSE)</f>
        <v>16 x 24/48/125/250 V binary inputs</v>
      </c>
      <c r="AE75" s="6" t="s">
        <v>241</v>
      </c>
      <c r="AF75" s="13"/>
      <c r="AG75" s="13" t="s">
        <v>56</v>
      </c>
    </row>
    <row r="76" spans="1:33" x14ac:dyDescent="0.2">
      <c r="A76" s="11"/>
      <c r="B76" s="17"/>
      <c r="C76" s="13" t="str">
        <f>HLOOKUP(Language!$C$3,Language!$E$1:$Z563,68,FALSE)</f>
        <v>4 x VT 115 V and 4 x CT 1 A RMS protection analog inputs</v>
      </c>
      <c r="D76" s="13" t="s">
        <v>107</v>
      </c>
      <c r="E76" s="13"/>
      <c r="F76" s="97"/>
      <c r="G76" s="11"/>
      <c r="I76" s="11" t="str">
        <f>HLOOKUP(Language!$C$3,Language!$E$1:$Z563,68,FALSE)</f>
        <v>4 x VT 115 V and 4 x CT 1 A RMS protection analog inputs</v>
      </c>
      <c r="J76" s="13" t="s">
        <v>107</v>
      </c>
      <c r="K76" s="13"/>
      <c r="L76" s="13"/>
      <c r="O76" s="11" t="str">
        <f>HLOOKUP(Language!$C$3,Language!$E$1:$Z563,68,FALSE)</f>
        <v>4 x VT 115 V and 4 x CT 1 A RMS protection analog inputs</v>
      </c>
      <c r="P76" s="13" t="s">
        <v>107</v>
      </c>
      <c r="Q76" s="13"/>
      <c r="R76" s="13"/>
      <c r="T76" s="104" t="str">
        <f>HLOOKUP(Language!$C$3,Language!$E$1:$Z550,80,FALSE)</f>
        <v>6 x  24/48/125/250 V binary inputs and 8 x Form-A binary outputs</v>
      </c>
      <c r="U76" s="6" t="s">
        <v>242</v>
      </c>
      <c r="V76" s="13"/>
      <c r="W76" s="13" t="s">
        <v>56</v>
      </c>
      <c r="Y76" s="104" t="str">
        <f>HLOOKUP(Language!$C$3,Language!$E$1:$Z550,80,FALSE)</f>
        <v>6 x  24/48/125/250 V binary inputs and 8 x Form-A binary outputs</v>
      </c>
      <c r="Z76" s="6" t="s">
        <v>242</v>
      </c>
      <c r="AA76" s="13"/>
      <c r="AB76" s="13" t="s">
        <v>56</v>
      </c>
      <c r="AD76" s="104" t="str">
        <f>HLOOKUP(Language!$C$3,Language!$E$1:$Z550,80,FALSE)</f>
        <v>6 x  24/48/125/250 V binary inputs and 8 x Form-A binary outputs</v>
      </c>
      <c r="AE76" s="6" t="s">
        <v>242</v>
      </c>
      <c r="AF76" s="13"/>
      <c r="AG76" s="13" t="s">
        <v>56</v>
      </c>
    </row>
    <row r="77" spans="1:33" x14ac:dyDescent="0.2">
      <c r="A77" s="11"/>
      <c r="B77" s="17"/>
      <c r="C77" s="13" t="str">
        <f>HLOOKUP(Language!$C$3,Language!$E$1:$Z564,69,FALSE)</f>
        <v>4 x VT 115V and 4 x CT 5 A RMS protection analog inputs</v>
      </c>
      <c r="D77" s="13" t="s">
        <v>108</v>
      </c>
      <c r="E77" s="13"/>
      <c r="F77" s="97"/>
      <c r="G77" s="11"/>
      <c r="I77" s="11" t="str">
        <f>HLOOKUP(Language!$C$3,Language!$E$1:$Z564,69,FALSE)</f>
        <v>4 x VT 115V and 4 x CT 5 A RMS protection analog inputs</v>
      </c>
      <c r="J77" s="13" t="s">
        <v>108</v>
      </c>
      <c r="K77" s="13"/>
      <c r="L77" s="13"/>
      <c r="O77" s="11" t="str">
        <f>HLOOKUP(Language!$C$3,Language!$E$1:$Z564,69,FALSE)</f>
        <v>4 x VT 115V and 4 x CT 5 A RMS protection analog inputs</v>
      </c>
      <c r="P77" s="13" t="s">
        <v>108</v>
      </c>
      <c r="Q77" s="13"/>
      <c r="R77" s="13"/>
      <c r="T77" s="11" t="str">
        <f>HLOOKUP(Language!$C$3,Language!$E$1:$Z548,17,FALSE)</f>
        <v>4 x VT 115 V and 4 CT 1/5 A RMS measurement analog inputs</v>
      </c>
      <c r="U77" s="13" t="s">
        <v>106</v>
      </c>
      <c r="V77" s="13"/>
      <c r="W77" s="13" t="s">
        <v>56</v>
      </c>
      <c r="Y77" s="11" t="str">
        <f>HLOOKUP(Language!$C$3,Language!$E$1:$Z548,17,FALSE)</f>
        <v>4 x VT 115 V and 4 CT 1/5 A RMS measurement analog inputs</v>
      </c>
      <c r="Z77" s="13" t="s">
        <v>106</v>
      </c>
      <c r="AA77" s="13"/>
      <c r="AB77" s="13" t="s">
        <v>56</v>
      </c>
      <c r="AD77" s="11" t="str">
        <f>HLOOKUP(Language!$C$3,Language!$E$1:$Z548,17,FALSE)</f>
        <v>4 x VT 115 V and 4 CT 1/5 A RMS measurement analog inputs</v>
      </c>
      <c r="AE77" s="13" t="s">
        <v>106</v>
      </c>
      <c r="AF77" s="13"/>
      <c r="AG77" s="13" t="s">
        <v>56</v>
      </c>
    </row>
    <row r="78" spans="1:33" x14ac:dyDescent="0.2">
      <c r="A78" s="11"/>
      <c r="B78" s="17"/>
      <c r="C78" s="13" t="str">
        <f>HLOOKUP(Language!$C$3,Language!$E$1:$Z565,70,FALSE)</f>
        <v>4 x ±10 Vdc and 4 x 0-20 mAdc transducer inputs</v>
      </c>
      <c r="D78" s="13" t="s">
        <v>109</v>
      </c>
      <c r="E78" s="13"/>
      <c r="F78" s="97"/>
      <c r="G78" s="11"/>
      <c r="I78" s="11" t="str">
        <f>HLOOKUP(Language!$C$3,Language!$E$1:$Z565,70,FALSE)</f>
        <v>4 x ±10 Vdc and 4 x 0-20 mAdc transducer inputs</v>
      </c>
      <c r="J78" s="13" t="s">
        <v>109</v>
      </c>
      <c r="K78" s="13"/>
      <c r="L78" s="13"/>
      <c r="O78" s="11" t="str">
        <f>HLOOKUP(Language!$C$3,Language!$E$1:$Z565,70,FALSE)</f>
        <v>4 x ±10 Vdc and 4 x 0-20 mAdc transducer inputs</v>
      </c>
      <c r="P78" s="13" t="s">
        <v>109</v>
      </c>
      <c r="Q78" s="13"/>
      <c r="R78" s="13"/>
      <c r="T78" s="11" t="str">
        <f>HLOOKUP(Language!$C$3,Language!$E$1:$Z565,68,FALSE)</f>
        <v>4 x VT 115 V and 4 x CT 1 A RMS protection analog inputs</v>
      </c>
      <c r="U78" s="13" t="s">
        <v>107</v>
      </c>
      <c r="V78" s="13"/>
      <c r="W78" s="13" t="s">
        <v>56</v>
      </c>
      <c r="Y78" s="11" t="str">
        <f>HLOOKUP(Language!$C$3,Language!$E$1:$Z565,68,FALSE)</f>
        <v>4 x VT 115 V and 4 x CT 1 A RMS protection analog inputs</v>
      </c>
      <c r="Z78" s="13" t="s">
        <v>107</v>
      </c>
      <c r="AA78" s="13"/>
      <c r="AB78" s="13" t="s">
        <v>56</v>
      </c>
      <c r="AD78" s="11" t="str">
        <f>HLOOKUP(Language!$C$3,Language!$E$1:$Z565,68,FALSE)</f>
        <v>4 x VT 115 V and 4 x CT 1 A RMS protection analog inputs</v>
      </c>
      <c r="AE78" s="13" t="s">
        <v>107</v>
      </c>
      <c r="AF78" s="13"/>
      <c r="AG78" s="13" t="s">
        <v>56</v>
      </c>
    </row>
    <row r="79" spans="1:33" x14ac:dyDescent="0.2">
      <c r="A79" s="11"/>
      <c r="B79" s="17"/>
      <c r="C79" s="13" t="str">
        <f>HLOOKUP(Language!$C$3,Language!$E$1:$Z566,71,FALSE)</f>
        <v>Not installed</v>
      </c>
      <c r="D79" s="13" t="s">
        <v>105</v>
      </c>
      <c r="E79" s="13"/>
      <c r="F79" s="97"/>
      <c r="G79" s="11"/>
      <c r="I79" s="11" t="str">
        <f>HLOOKUP(Language!$C$3,Language!$E$1:$Z566,71,FALSE)</f>
        <v>Not installed</v>
      </c>
      <c r="J79" s="13" t="s">
        <v>105</v>
      </c>
      <c r="K79" s="13"/>
      <c r="L79" s="13"/>
      <c r="O79" s="11" t="str">
        <f>HLOOKUP(Language!$C$3,Language!$E$1:$Z566,71,FALSE)</f>
        <v>Not installed</v>
      </c>
      <c r="P79" s="13" t="s">
        <v>105</v>
      </c>
      <c r="Q79" s="13"/>
      <c r="R79" s="13"/>
      <c r="T79" s="11" t="str">
        <f>HLOOKUP(Language!$C$3,Language!$E$1:$Z566,69,FALSE)</f>
        <v>4 x VT 115V and 4 x CT 5 A RMS protection analog inputs</v>
      </c>
      <c r="U79" s="13" t="s">
        <v>108</v>
      </c>
      <c r="V79" s="13"/>
      <c r="W79" s="13" t="s">
        <v>56</v>
      </c>
      <c r="Y79" s="11" t="str">
        <f>HLOOKUP(Language!$C$3,Language!$E$1:$Z566,69,FALSE)</f>
        <v>4 x VT 115V and 4 x CT 5 A RMS protection analog inputs</v>
      </c>
      <c r="Z79" s="13" t="s">
        <v>108</v>
      </c>
      <c r="AA79" s="13"/>
      <c r="AB79" s="13" t="s">
        <v>56</v>
      </c>
      <c r="AD79" s="11" t="str">
        <f>HLOOKUP(Language!$C$3,Language!$E$1:$Z566,69,FALSE)</f>
        <v>4 x VT 115V and 4 x CT 5 A RMS protection analog inputs</v>
      </c>
      <c r="AE79" s="13" t="s">
        <v>108</v>
      </c>
      <c r="AF79" s="13"/>
      <c r="AG79" s="13" t="s">
        <v>56</v>
      </c>
    </row>
    <row r="80" spans="1:33" x14ac:dyDescent="0.2">
      <c r="A80" s="11"/>
      <c r="B80" s="17"/>
      <c r="C80" s="13"/>
      <c r="D80" s="13"/>
      <c r="E80" s="13"/>
      <c r="F80" s="97"/>
      <c r="G80" s="11"/>
      <c r="I80" s="11"/>
      <c r="J80" s="13"/>
      <c r="K80" s="13"/>
      <c r="L80" s="13"/>
      <c r="O80" s="11"/>
      <c r="P80" s="13"/>
      <c r="Q80" s="13"/>
      <c r="R80" s="13"/>
      <c r="T80" s="11" t="str">
        <f>HLOOKUP(Language!$C$3,Language!$E$1:$Z567,70,FALSE)</f>
        <v>4 x ±10 Vdc and 4 x 0-20 mAdc transducer inputs</v>
      </c>
      <c r="U80" s="13" t="s">
        <v>109</v>
      </c>
      <c r="V80" s="13"/>
      <c r="W80" s="13" t="s">
        <v>56</v>
      </c>
      <c r="Y80" s="11" t="str">
        <f>HLOOKUP(Language!$C$3,Language!$E$1:$Z567,70,FALSE)</f>
        <v>4 x ±10 Vdc and 4 x 0-20 mAdc transducer inputs</v>
      </c>
      <c r="Z80" s="13" t="s">
        <v>109</v>
      </c>
      <c r="AA80" s="13"/>
      <c r="AB80" s="13" t="s">
        <v>56</v>
      </c>
      <c r="AD80" s="11" t="str">
        <f>HLOOKUP(Language!$C$3,Language!$E$1:$Z567,70,FALSE)</f>
        <v>4 x ±10 Vdc and 4 x 0-20 mAdc transducer inputs</v>
      </c>
      <c r="AE80" s="13" t="s">
        <v>109</v>
      </c>
      <c r="AF80" s="13"/>
      <c r="AG80" s="13" t="s">
        <v>56</v>
      </c>
    </row>
    <row r="81" spans="1:33" x14ac:dyDescent="0.2">
      <c r="A81" s="11"/>
      <c r="B81" s="17"/>
      <c r="C81" s="13"/>
      <c r="D81" s="13"/>
      <c r="E81" s="13"/>
      <c r="F81" s="97"/>
      <c r="G81" s="11"/>
      <c r="I81" s="11"/>
      <c r="J81" s="13"/>
      <c r="K81" s="13"/>
      <c r="L81" s="13"/>
      <c r="O81" s="11"/>
      <c r="P81" s="13"/>
      <c r="Q81" s="13"/>
      <c r="R81" s="13"/>
      <c r="T81" s="11" t="str">
        <f>HLOOKUP(Language!$C$3,Language!$E$1:$Z568,71,FALSE)</f>
        <v>Not installed</v>
      </c>
      <c r="U81" s="13" t="s">
        <v>105</v>
      </c>
      <c r="V81" s="13"/>
      <c r="W81" s="13" t="s">
        <v>56</v>
      </c>
      <c r="Y81" s="11" t="str">
        <f>HLOOKUP(Language!$C$3,Language!$E$1:$Z568,71,FALSE)</f>
        <v>Not installed</v>
      </c>
      <c r="Z81" s="13" t="s">
        <v>105</v>
      </c>
      <c r="AA81" s="13"/>
      <c r="AB81" s="13" t="s">
        <v>56</v>
      </c>
      <c r="AD81" s="11" t="str">
        <f>HLOOKUP(Language!$C$3,Language!$E$1:$Z568,71,FALSE)</f>
        <v>Not installed</v>
      </c>
      <c r="AE81" s="13" t="s">
        <v>105</v>
      </c>
      <c r="AF81" s="13"/>
      <c r="AG81" s="13" t="s">
        <v>56</v>
      </c>
    </row>
    <row r="82" spans="1:33" x14ac:dyDescent="0.2">
      <c r="A82" s="11"/>
      <c r="B82" s="17"/>
      <c r="C82" s="13"/>
      <c r="D82" s="13"/>
      <c r="E82" s="13"/>
      <c r="F82" s="97"/>
      <c r="G82" s="11"/>
      <c r="I82" s="11"/>
      <c r="J82" s="13"/>
      <c r="K82" s="13"/>
      <c r="L82" s="13"/>
      <c r="O82" s="11"/>
      <c r="P82" s="13"/>
      <c r="Q82" s="13"/>
      <c r="R82" s="13"/>
      <c r="T82" s="11"/>
      <c r="U82" s="13"/>
      <c r="V82" s="13"/>
      <c r="W82" s="13"/>
      <c r="Y82" s="11"/>
      <c r="Z82" s="13"/>
      <c r="AA82" s="13"/>
      <c r="AB82" s="13"/>
      <c r="AD82" s="11"/>
      <c r="AE82" s="13"/>
      <c r="AF82" s="13"/>
      <c r="AG82" s="13"/>
    </row>
    <row r="83" spans="1:33" x14ac:dyDescent="0.2">
      <c r="A83" s="11"/>
      <c r="B83" s="17"/>
      <c r="C83" s="13"/>
      <c r="D83" s="13"/>
      <c r="E83" s="13"/>
      <c r="F83" s="97"/>
      <c r="G83" s="11"/>
      <c r="I83" s="11"/>
      <c r="J83" s="13"/>
      <c r="K83" s="13"/>
      <c r="L83" s="13"/>
      <c r="O83" s="11"/>
      <c r="P83" s="13"/>
      <c r="Q83" s="13"/>
      <c r="R83" s="13"/>
      <c r="T83" s="11"/>
      <c r="U83" s="13"/>
      <c r="V83" s="13"/>
      <c r="W83" s="13"/>
      <c r="Y83" s="11"/>
      <c r="Z83" s="13"/>
      <c r="AA83" s="13"/>
      <c r="AB83" s="13"/>
      <c r="AD83" s="11"/>
      <c r="AE83" s="13"/>
      <c r="AF83" s="13"/>
      <c r="AG83" s="13"/>
    </row>
    <row r="84" spans="1:33" x14ac:dyDescent="0.2">
      <c r="A84" s="16"/>
      <c r="C84" s="6"/>
      <c r="D84" s="6"/>
      <c r="E84" s="6"/>
      <c r="G84" s="104"/>
      <c r="I84" s="104"/>
      <c r="J84" s="6"/>
      <c r="K84" s="6"/>
      <c r="L84" s="6"/>
      <c r="O84" s="104"/>
      <c r="P84" s="6"/>
      <c r="Q84" s="6"/>
      <c r="R84" s="6"/>
      <c r="T84" s="104"/>
      <c r="U84" s="6"/>
      <c r="V84" s="6"/>
      <c r="W84" s="6"/>
      <c r="Y84" s="104"/>
      <c r="Z84" s="6"/>
      <c r="AA84" s="6"/>
      <c r="AB84" s="6"/>
      <c r="AD84" s="104"/>
      <c r="AE84" s="6"/>
      <c r="AF84" s="6"/>
      <c r="AG84" s="6"/>
    </row>
    <row r="85" spans="1:33" x14ac:dyDescent="0.2">
      <c r="A85" s="10">
        <v>9</v>
      </c>
      <c r="B85" s="4" t="str">
        <f>HLOOKUP(Language!$C$3,Language!$E$1:$Z564,25,FALSE)</f>
        <v>Primary Functions</v>
      </c>
      <c r="C85" s="98" t="str">
        <f>HLOOKUP(Language!$C$3,Language!$E$1:$Z564,64,FALSE)</f>
        <v>Waveform recorder</v>
      </c>
      <c r="D85" s="136" t="s">
        <v>11</v>
      </c>
      <c r="E85" s="12"/>
      <c r="F85" s="98" t="s">
        <v>56</v>
      </c>
      <c r="G85" s="11"/>
      <c r="I85" s="14" t="str">
        <f>HLOOKUP(Language!$C$3,Language!$E$1:$Z564,72,FALSE)</f>
        <v>Phasor Measurement Unit (PMU)</v>
      </c>
      <c r="J85" s="136">
        <v>1</v>
      </c>
      <c r="K85" s="12"/>
      <c r="L85" s="12" t="s">
        <v>56</v>
      </c>
      <c r="O85" s="14" t="str">
        <f>HLOOKUP(Language!$C$3,Language!$E$1:$Z564,72,FALSE)</f>
        <v>Phasor Measurement Unit (PMU)</v>
      </c>
      <c r="P85" s="136">
        <v>1</v>
      </c>
      <c r="Q85" s="12"/>
      <c r="R85" s="12" t="s">
        <v>56</v>
      </c>
      <c r="T85" s="14" t="str">
        <f>HLOOKUP(Language!$C$3,Language!$E$1:$Z564,72,FALSE)</f>
        <v>Phasor Measurement Unit (PMU)</v>
      </c>
      <c r="U85" s="136">
        <v>1</v>
      </c>
      <c r="V85" s="12"/>
      <c r="W85" s="12" t="s">
        <v>56</v>
      </c>
      <c r="Y85" s="14" t="str">
        <f>HLOOKUP(Language!$C$3,Language!$E$1:$Z564,72,FALSE)</f>
        <v>Phasor Measurement Unit (PMU)</v>
      </c>
      <c r="Z85" s="136">
        <v>1</v>
      </c>
      <c r="AA85" s="12"/>
      <c r="AB85" s="12" t="s">
        <v>56</v>
      </c>
      <c r="AD85" s="14" t="str">
        <f>HLOOKUP(Language!$C$3,Language!$E$1:$Z564,72,FALSE)</f>
        <v>Phasor Measurement Unit (PMU)</v>
      </c>
      <c r="AE85" s="136">
        <v>1</v>
      </c>
      <c r="AF85" s="12"/>
      <c r="AG85" s="12" t="s">
        <v>56</v>
      </c>
    </row>
    <row r="86" spans="1:33" x14ac:dyDescent="0.2">
      <c r="A86" s="11"/>
      <c r="B86" s="17"/>
      <c r="C86" s="97" t="str">
        <f>HLOOKUP(Language!$C$3,Language!$E$1:$Z565,65,FALSE)</f>
        <v>Disturbance Recorder</v>
      </c>
      <c r="D86" s="166" t="s">
        <v>51</v>
      </c>
      <c r="E86" s="13"/>
      <c r="F86" s="97"/>
      <c r="G86" s="11"/>
      <c r="I86" s="225"/>
      <c r="J86" s="166">
        <v>2</v>
      </c>
      <c r="K86" s="13"/>
      <c r="L86" s="13"/>
      <c r="O86" s="225"/>
      <c r="P86" s="166">
        <v>2</v>
      </c>
      <c r="Q86" s="13"/>
      <c r="R86" s="13"/>
      <c r="T86" s="225"/>
      <c r="U86" s="166">
        <v>2</v>
      </c>
      <c r="V86" s="13"/>
      <c r="W86" s="13"/>
      <c r="Y86" s="225"/>
      <c r="Z86" s="166">
        <v>2</v>
      </c>
      <c r="AA86" s="13"/>
      <c r="AB86" s="13"/>
      <c r="AD86" s="225"/>
      <c r="AE86" s="166">
        <v>2</v>
      </c>
      <c r="AF86" s="13"/>
      <c r="AG86" s="13"/>
    </row>
    <row r="87" spans="1:33" x14ac:dyDescent="0.2">
      <c r="A87" s="11"/>
      <c r="B87" s="17"/>
      <c r="C87" s="97" t="str">
        <f>HLOOKUP(Language!$C$3,Language!$E$1:$Z566,66,FALSE)</f>
        <v>Continuous Disturbance Recorder</v>
      </c>
      <c r="D87" s="166" t="s">
        <v>99</v>
      </c>
      <c r="E87" s="13"/>
      <c r="F87" s="97"/>
      <c r="G87" s="11"/>
      <c r="I87" s="225"/>
      <c r="J87" s="166">
        <v>4</v>
      </c>
      <c r="K87" s="13"/>
      <c r="L87" s="13"/>
      <c r="O87" s="225"/>
      <c r="P87" s="166">
        <v>4</v>
      </c>
      <c r="Q87" s="13"/>
      <c r="R87" s="13"/>
      <c r="T87" s="225"/>
      <c r="U87" s="166">
        <v>4</v>
      </c>
      <c r="V87" s="13"/>
      <c r="W87" s="13"/>
      <c r="Y87" s="225"/>
      <c r="Z87" s="166">
        <v>4</v>
      </c>
      <c r="AA87" s="13"/>
      <c r="AB87" s="13"/>
      <c r="AD87" s="225"/>
      <c r="AE87" s="166">
        <v>4</v>
      </c>
      <c r="AF87" s="13"/>
      <c r="AG87" s="13"/>
    </row>
    <row r="88" spans="1:33" x14ac:dyDescent="0.2">
      <c r="A88" s="11"/>
      <c r="B88" s="17"/>
      <c r="C88" s="97"/>
      <c r="D88" s="166"/>
      <c r="E88" s="13"/>
      <c r="F88" s="97"/>
      <c r="G88" s="11"/>
      <c r="I88" s="225"/>
      <c r="J88" s="166">
        <v>8</v>
      </c>
      <c r="K88" s="13"/>
      <c r="L88" s="13"/>
      <c r="O88" s="225"/>
      <c r="P88" s="166">
        <v>8</v>
      </c>
      <c r="Q88" s="13"/>
      <c r="R88" s="13"/>
      <c r="T88" s="225"/>
      <c r="U88" s="166">
        <v>8</v>
      </c>
      <c r="V88" s="13"/>
      <c r="W88" s="13"/>
      <c r="Y88" s="225"/>
      <c r="Z88" s="166">
        <v>8</v>
      </c>
      <c r="AA88" s="13"/>
      <c r="AB88" s="13"/>
      <c r="AD88" s="225"/>
      <c r="AE88" s="166">
        <v>8</v>
      </c>
      <c r="AF88" s="13"/>
      <c r="AG88" s="13"/>
    </row>
    <row r="89" spans="1:33" x14ac:dyDescent="0.2">
      <c r="A89" s="11"/>
      <c r="B89" s="17"/>
      <c r="C89" s="97"/>
      <c r="D89" s="166"/>
      <c r="E89" s="13"/>
      <c r="F89" s="97"/>
      <c r="G89" s="11"/>
      <c r="I89" s="225"/>
      <c r="J89" s="166"/>
      <c r="K89" s="13"/>
      <c r="L89" s="13"/>
      <c r="O89" s="225"/>
      <c r="P89" s="166"/>
      <c r="Q89" s="13"/>
      <c r="R89" s="13"/>
      <c r="T89" s="225"/>
      <c r="U89" s="166"/>
      <c r="V89" s="13"/>
      <c r="W89" s="13"/>
      <c r="Y89" s="225"/>
      <c r="Z89" s="166"/>
      <c r="AA89" s="13"/>
      <c r="AB89" s="13"/>
      <c r="AD89" s="225"/>
      <c r="AE89" s="166"/>
      <c r="AF89" s="13"/>
      <c r="AG89" s="13"/>
    </row>
    <row r="90" spans="1:33" x14ac:dyDescent="0.2">
      <c r="A90" s="11"/>
      <c r="B90" s="17"/>
      <c r="C90" s="97"/>
      <c r="D90" s="166"/>
      <c r="E90" s="13"/>
      <c r="F90" s="97"/>
      <c r="G90" s="11"/>
      <c r="I90" s="225"/>
      <c r="J90" s="166"/>
      <c r="K90" s="13"/>
      <c r="L90" s="13"/>
      <c r="O90" s="225"/>
      <c r="P90" s="166"/>
      <c r="Q90" s="13"/>
      <c r="R90" s="13"/>
      <c r="T90" s="225"/>
      <c r="U90" s="166"/>
      <c r="V90" s="13"/>
      <c r="W90" s="13"/>
      <c r="Y90" s="225"/>
      <c r="Z90" s="166"/>
      <c r="AA90" s="13"/>
      <c r="AB90" s="13"/>
      <c r="AD90" s="225"/>
      <c r="AE90" s="166"/>
      <c r="AF90" s="13"/>
      <c r="AG90" s="13"/>
    </row>
    <row r="91" spans="1:33" x14ac:dyDescent="0.2">
      <c r="A91" s="11"/>
      <c r="B91" s="17"/>
      <c r="C91" s="97"/>
      <c r="D91" s="166"/>
      <c r="E91" s="13"/>
      <c r="F91" s="97"/>
      <c r="G91" s="11"/>
      <c r="I91" s="225"/>
      <c r="J91" s="166"/>
      <c r="K91" s="13"/>
      <c r="L91" s="13"/>
      <c r="O91" s="225"/>
      <c r="P91" s="166"/>
      <c r="Q91" s="13"/>
      <c r="R91" s="13"/>
      <c r="T91" s="225"/>
      <c r="U91" s="166"/>
      <c r="V91" s="13"/>
      <c r="W91" s="13"/>
      <c r="Y91" s="225"/>
      <c r="Z91" s="166"/>
      <c r="AA91" s="13"/>
      <c r="AB91" s="13"/>
      <c r="AD91" s="225"/>
      <c r="AE91" s="166"/>
      <c r="AF91" s="13"/>
      <c r="AG91" s="13"/>
    </row>
    <row r="92" spans="1:33" x14ac:dyDescent="0.2">
      <c r="A92" s="11"/>
      <c r="B92" s="17"/>
      <c r="C92" s="97"/>
      <c r="D92" s="166"/>
      <c r="E92" s="13"/>
      <c r="F92" s="97"/>
      <c r="G92" s="11"/>
      <c r="I92" s="225"/>
      <c r="J92" s="166"/>
      <c r="K92" s="13"/>
      <c r="L92" s="13"/>
      <c r="O92" s="225"/>
      <c r="P92" s="166"/>
      <c r="Q92" s="13"/>
      <c r="R92" s="13"/>
      <c r="T92" s="225"/>
      <c r="U92" s="166"/>
      <c r="V92" s="13"/>
      <c r="W92" s="13"/>
      <c r="Y92" s="225"/>
      <c r="Z92" s="166"/>
      <c r="AA92" s="13"/>
      <c r="AB92" s="13"/>
      <c r="AD92" s="225"/>
      <c r="AE92" s="166"/>
      <c r="AF92" s="13"/>
      <c r="AG92" s="13"/>
    </row>
    <row r="93" spans="1:33" x14ac:dyDescent="0.2">
      <c r="A93" s="11"/>
      <c r="B93" s="17"/>
      <c r="C93" s="97"/>
      <c r="D93" s="11"/>
      <c r="E93" s="13"/>
      <c r="F93" s="97"/>
      <c r="G93" s="11"/>
      <c r="I93" s="225"/>
      <c r="J93" s="11"/>
      <c r="K93" s="13"/>
      <c r="L93" s="13"/>
      <c r="O93" s="225"/>
      <c r="P93" s="11"/>
      <c r="Q93" s="13"/>
      <c r="R93" s="13"/>
      <c r="T93" s="225"/>
      <c r="U93" s="11"/>
      <c r="V93" s="13"/>
      <c r="W93" s="13"/>
      <c r="Y93" s="225"/>
      <c r="Z93" s="11"/>
      <c r="AA93" s="13"/>
      <c r="AB93" s="13"/>
      <c r="AD93" s="225"/>
      <c r="AE93" s="11"/>
      <c r="AF93" s="13"/>
      <c r="AG93" s="13"/>
    </row>
    <row r="94" spans="1:33" x14ac:dyDescent="0.2">
      <c r="A94" s="16"/>
      <c r="D94" s="107"/>
      <c r="E94" s="6"/>
      <c r="G94" s="104"/>
      <c r="I94" s="226"/>
      <c r="J94" s="107"/>
      <c r="K94" s="6"/>
      <c r="L94" s="6"/>
      <c r="O94" s="226"/>
      <c r="P94" s="107"/>
      <c r="Q94" s="6"/>
      <c r="R94" s="6"/>
      <c r="T94" s="226"/>
      <c r="U94" s="107"/>
      <c r="V94" s="6"/>
      <c r="W94" s="6"/>
      <c r="Y94" s="226"/>
      <c r="Z94" s="107"/>
      <c r="AA94" s="6"/>
      <c r="AB94" s="6"/>
      <c r="AD94" s="226"/>
      <c r="AE94" s="107"/>
      <c r="AF94" s="6"/>
      <c r="AG94" s="6"/>
    </row>
    <row r="95" spans="1:33" x14ac:dyDescent="0.2">
      <c r="A95" s="10"/>
      <c r="B95" s="4"/>
      <c r="C95" s="98" t="str">
        <f>HLOOKUP(Language!$C$3,Language!$E$1:$Z574,64,FALSE)</f>
        <v>Waveform recorder</v>
      </c>
      <c r="D95" s="136" t="s">
        <v>11</v>
      </c>
      <c r="E95" s="12"/>
      <c r="F95" s="98" t="s">
        <v>56</v>
      </c>
      <c r="G95" s="11"/>
      <c r="I95" s="14" t="str">
        <f>HLOOKUP(Language!$C$3,Language!$E$1:$Z574,64,FALSE)</f>
        <v>Waveform recorder</v>
      </c>
      <c r="J95" s="136">
        <v>1</v>
      </c>
      <c r="K95" s="12"/>
      <c r="L95" s="12" t="s">
        <v>56</v>
      </c>
      <c r="O95" s="14" t="str">
        <f>HLOOKUP(Language!$C$3,Language!$E$1:$Z574,64,FALSE)</f>
        <v>Waveform recorder</v>
      </c>
      <c r="P95" s="136">
        <v>1</v>
      </c>
      <c r="Q95" s="12"/>
      <c r="R95" s="12" t="s">
        <v>56</v>
      </c>
      <c r="T95" s="14" t="str">
        <f>HLOOKUP(Language!$C$3,Language!$E$1:$Z574,64,FALSE)</f>
        <v>Waveform recorder</v>
      </c>
      <c r="U95" s="136">
        <v>1</v>
      </c>
      <c r="V95" s="12"/>
      <c r="W95" s="12" t="s">
        <v>56</v>
      </c>
      <c r="Y95" s="14" t="str">
        <f>HLOOKUP(Language!$C$3,Language!$E$1:$Z574,64,FALSE)</f>
        <v>Waveform recorder</v>
      </c>
      <c r="Z95" s="136">
        <v>1</v>
      </c>
      <c r="AA95" s="12"/>
      <c r="AB95" s="12" t="s">
        <v>56</v>
      </c>
      <c r="AD95" s="14" t="str">
        <f>HLOOKUP(Language!$C$3,Language!$E$1:$Z574,64,FALSE)</f>
        <v>Waveform recorder</v>
      </c>
      <c r="AE95" s="136">
        <v>1</v>
      </c>
      <c r="AF95" s="12"/>
      <c r="AG95" s="12" t="s">
        <v>56</v>
      </c>
    </row>
    <row r="96" spans="1:33" x14ac:dyDescent="0.2">
      <c r="A96" s="11"/>
      <c r="B96" s="17"/>
      <c r="C96" s="97" t="str">
        <f>HLOOKUP(Language!$C$3,Language!$E$1:$Z575,65,FALSE)</f>
        <v>Disturbance Recorder</v>
      </c>
      <c r="D96" s="166" t="s">
        <v>51</v>
      </c>
      <c r="E96" s="13"/>
      <c r="F96" s="97"/>
      <c r="G96" s="11"/>
      <c r="I96" s="225" t="str">
        <f>HLOOKUP(Language!$C$3,Language!$E$1:$Z575,65,FALSE)</f>
        <v>Disturbance Recorder</v>
      </c>
      <c r="J96" s="166">
        <v>2</v>
      </c>
      <c r="K96" s="13"/>
      <c r="L96" s="13"/>
      <c r="O96" s="225" t="str">
        <f>HLOOKUP(Language!$C$3,Language!$E$1:$Z575,65,FALSE)</f>
        <v>Disturbance Recorder</v>
      </c>
      <c r="P96" s="166">
        <v>2</v>
      </c>
      <c r="Q96" s="13"/>
      <c r="R96" s="13"/>
      <c r="T96" s="225" t="str">
        <f>HLOOKUP(Language!$C$3,Language!$E$1:$Z575,65,FALSE)</f>
        <v>Disturbance Recorder</v>
      </c>
      <c r="U96" s="166">
        <v>2</v>
      </c>
      <c r="V96" s="13"/>
      <c r="W96" s="13"/>
      <c r="Y96" s="225" t="str">
        <f>HLOOKUP(Language!$C$3,Language!$E$1:$Z575,65,FALSE)</f>
        <v>Disturbance Recorder</v>
      </c>
      <c r="Z96" s="166">
        <v>2</v>
      </c>
      <c r="AA96" s="13"/>
      <c r="AB96" s="13"/>
      <c r="AD96" s="225" t="str">
        <f>HLOOKUP(Language!$C$3,Language!$E$1:$Z575,65,FALSE)</f>
        <v>Disturbance Recorder</v>
      </c>
      <c r="AE96" s="166">
        <v>2</v>
      </c>
      <c r="AF96" s="13"/>
      <c r="AG96" s="13"/>
    </row>
    <row r="97" spans="1:33" x14ac:dyDescent="0.2">
      <c r="A97" s="11"/>
      <c r="B97" s="17"/>
      <c r="C97" s="97" t="str">
        <f>HLOOKUP(Language!$C$3,Language!$E$1:$Z576,66,FALSE)</f>
        <v>Continuous Disturbance Recorder</v>
      </c>
      <c r="D97" s="166" t="s">
        <v>99</v>
      </c>
      <c r="E97" s="13"/>
      <c r="F97" s="97"/>
      <c r="G97" s="11"/>
      <c r="I97" s="225" t="str">
        <f>HLOOKUP(Language!$C$3,Language!$E$1:$Z576,66,FALSE)</f>
        <v>Continuous Disturbance Recorder</v>
      </c>
      <c r="J97" s="166">
        <v>4</v>
      </c>
      <c r="K97" s="13"/>
      <c r="L97" s="13"/>
      <c r="O97" s="225" t="str">
        <f>HLOOKUP(Language!$C$3,Language!$E$1:$Z576,66,FALSE)</f>
        <v>Continuous Disturbance Recorder</v>
      </c>
      <c r="P97" s="166">
        <v>4</v>
      </c>
      <c r="Q97" s="13"/>
      <c r="R97" s="13"/>
      <c r="T97" s="225" t="str">
        <f>HLOOKUP(Language!$C$3,Language!$E$1:$Z576,66,FALSE)</f>
        <v>Continuous Disturbance Recorder</v>
      </c>
      <c r="U97" s="166">
        <v>4</v>
      </c>
      <c r="V97" s="13"/>
      <c r="W97" s="13"/>
      <c r="Y97" s="225" t="str">
        <f>HLOOKUP(Language!$C$3,Language!$E$1:$Z576,66,FALSE)</f>
        <v>Continuous Disturbance Recorder</v>
      </c>
      <c r="Z97" s="166">
        <v>4</v>
      </c>
      <c r="AA97" s="13"/>
      <c r="AB97" s="13"/>
      <c r="AD97" s="225" t="str">
        <f>HLOOKUP(Language!$C$3,Language!$E$1:$Z576,66,FALSE)</f>
        <v>Continuous Disturbance Recorder</v>
      </c>
      <c r="AE97" s="166">
        <v>4</v>
      </c>
      <c r="AF97" s="13"/>
      <c r="AG97" s="13"/>
    </row>
    <row r="98" spans="1:33" x14ac:dyDescent="0.2">
      <c r="A98" s="11"/>
      <c r="B98" s="17"/>
      <c r="C98" s="97"/>
      <c r="D98" s="166"/>
      <c r="E98" s="13"/>
      <c r="F98" s="97"/>
      <c r="G98" s="11"/>
      <c r="I98" s="225" t="str">
        <f>HLOOKUP(Language!$C$3,Language!$E$1:$Z577,75,FALSE)</f>
        <v>Trend Recorder</v>
      </c>
      <c r="J98" s="166">
        <v>8</v>
      </c>
      <c r="K98" s="13"/>
      <c r="L98" s="13"/>
      <c r="O98" s="225" t="str">
        <f>HLOOKUP(Language!$C$3,Language!$E$1:$Z577,75,FALSE)</f>
        <v>Trend Recorder</v>
      </c>
      <c r="P98" s="166">
        <v>8</v>
      </c>
      <c r="Q98" s="13"/>
      <c r="R98" s="13"/>
      <c r="T98" s="225" t="str">
        <f>HLOOKUP(Language!$C$3,Language!$E$1:$Z577,75,FALSE)</f>
        <v>Trend Recorder</v>
      </c>
      <c r="U98" s="166">
        <v>8</v>
      </c>
      <c r="V98" s="13"/>
      <c r="W98" s="13"/>
      <c r="Y98" s="225" t="str">
        <f>HLOOKUP(Language!$C$3,Language!$E$1:$Z577,75,FALSE)</f>
        <v>Trend Recorder</v>
      </c>
      <c r="Z98" s="166">
        <v>8</v>
      </c>
      <c r="AA98" s="13"/>
      <c r="AB98" s="13"/>
      <c r="AD98" s="225" t="str">
        <f>HLOOKUP(Language!$C$3,Language!$E$1:$Z577,75,FALSE)</f>
        <v>Trend Recorder</v>
      </c>
      <c r="AE98" s="166">
        <v>8</v>
      </c>
      <c r="AF98" s="13"/>
      <c r="AG98" s="13"/>
    </row>
    <row r="99" spans="1:33" x14ac:dyDescent="0.2">
      <c r="A99" s="11"/>
      <c r="B99" s="17"/>
      <c r="C99" s="97"/>
      <c r="D99" s="166"/>
      <c r="E99" s="13"/>
      <c r="F99" s="97"/>
      <c r="G99" s="11"/>
      <c r="I99" s="225"/>
      <c r="J99" s="166"/>
      <c r="K99" s="13"/>
      <c r="L99" s="13"/>
      <c r="O99" s="225"/>
      <c r="P99" s="166"/>
      <c r="Q99" s="13"/>
      <c r="R99" s="13"/>
      <c r="T99" s="225"/>
      <c r="U99" s="166"/>
      <c r="V99" s="13"/>
      <c r="W99" s="13"/>
      <c r="Y99" s="225"/>
      <c r="Z99" s="166"/>
      <c r="AA99" s="13"/>
      <c r="AB99" s="13"/>
      <c r="AD99" s="225"/>
      <c r="AE99" s="166"/>
      <c r="AF99" s="13"/>
      <c r="AG99" s="13"/>
    </row>
    <row r="100" spans="1:33" x14ac:dyDescent="0.2">
      <c r="A100" s="11"/>
      <c r="B100" s="17"/>
      <c r="C100" s="97"/>
      <c r="D100" s="166"/>
      <c r="E100" s="13"/>
      <c r="F100" s="97"/>
      <c r="G100" s="11"/>
      <c r="I100" s="225"/>
      <c r="J100" s="166"/>
      <c r="K100" s="13"/>
      <c r="L100" s="13"/>
      <c r="O100" s="225"/>
      <c r="P100" s="166"/>
      <c r="Q100" s="13"/>
      <c r="R100" s="13"/>
      <c r="T100" s="225"/>
      <c r="U100" s="166"/>
      <c r="V100" s="13"/>
      <c r="W100" s="13"/>
      <c r="Y100" s="225"/>
      <c r="Z100" s="166"/>
      <c r="AA100" s="13"/>
      <c r="AB100" s="13"/>
      <c r="AD100" s="225"/>
      <c r="AE100" s="166"/>
      <c r="AF100" s="13"/>
      <c r="AG100" s="13"/>
    </row>
    <row r="101" spans="1:33" x14ac:dyDescent="0.2">
      <c r="A101" s="11"/>
      <c r="B101" s="17"/>
      <c r="C101" s="97"/>
      <c r="D101" s="166"/>
      <c r="E101" s="13"/>
      <c r="F101" s="97"/>
      <c r="G101" s="11"/>
      <c r="I101" s="225"/>
      <c r="J101" s="166"/>
      <c r="K101" s="13"/>
      <c r="L101" s="13"/>
      <c r="O101" s="225"/>
      <c r="P101" s="166"/>
      <c r="Q101" s="13"/>
      <c r="R101" s="13"/>
      <c r="T101" s="225"/>
      <c r="U101" s="166"/>
      <c r="V101" s="13"/>
      <c r="W101" s="13"/>
      <c r="Y101" s="225"/>
      <c r="Z101" s="166"/>
      <c r="AA101" s="13"/>
      <c r="AB101" s="13"/>
      <c r="AD101" s="225"/>
      <c r="AE101" s="166"/>
      <c r="AF101" s="13"/>
      <c r="AG101" s="13"/>
    </row>
    <row r="102" spans="1:33" x14ac:dyDescent="0.2">
      <c r="A102" s="11"/>
      <c r="B102" s="17"/>
      <c r="C102" s="97"/>
      <c r="D102" s="166"/>
      <c r="E102" s="13"/>
      <c r="F102" s="97"/>
      <c r="G102" s="11"/>
      <c r="I102" s="225"/>
      <c r="J102" s="166"/>
      <c r="K102" s="13"/>
      <c r="L102" s="13"/>
      <c r="O102" s="225"/>
      <c r="P102" s="166"/>
      <c r="Q102" s="13"/>
      <c r="R102" s="13"/>
      <c r="T102" s="225"/>
      <c r="U102" s="166"/>
      <c r="V102" s="13"/>
      <c r="W102" s="13"/>
      <c r="Y102" s="225"/>
      <c r="Z102" s="166"/>
      <c r="AA102" s="13"/>
      <c r="AB102" s="13"/>
      <c r="AD102" s="225"/>
      <c r="AE102" s="166"/>
      <c r="AF102" s="13"/>
      <c r="AG102" s="13"/>
    </row>
    <row r="103" spans="1:33" x14ac:dyDescent="0.2">
      <c r="A103" s="11"/>
      <c r="B103" s="17"/>
      <c r="C103" s="97"/>
      <c r="D103" s="11"/>
      <c r="E103" s="13"/>
      <c r="F103" s="97"/>
      <c r="G103" s="11"/>
      <c r="I103" s="225"/>
      <c r="J103" s="11"/>
      <c r="K103" s="13"/>
      <c r="L103" s="13"/>
      <c r="O103" s="225"/>
      <c r="P103" s="11"/>
      <c r="Q103" s="13"/>
      <c r="R103" s="13"/>
      <c r="T103" s="225"/>
      <c r="U103" s="11"/>
      <c r="V103" s="13"/>
      <c r="W103" s="13"/>
      <c r="Y103" s="225"/>
      <c r="Z103" s="11"/>
      <c r="AA103" s="13"/>
      <c r="AB103" s="13"/>
      <c r="AD103" s="225"/>
      <c r="AE103" s="11"/>
      <c r="AF103" s="13"/>
      <c r="AG103" s="13"/>
    </row>
    <row r="104" spans="1:33" x14ac:dyDescent="0.2">
      <c r="A104" s="16"/>
      <c r="D104" s="107"/>
      <c r="E104" s="6"/>
      <c r="G104" s="104"/>
      <c r="I104" s="226"/>
      <c r="J104" s="107"/>
      <c r="K104" s="6"/>
      <c r="L104" s="6"/>
      <c r="O104" s="226"/>
      <c r="P104" s="107"/>
      <c r="Q104" s="6"/>
      <c r="R104" s="6"/>
      <c r="T104" s="226"/>
      <c r="U104" s="107"/>
      <c r="V104" s="6"/>
      <c r="W104" s="6"/>
      <c r="Y104" s="226"/>
      <c r="Z104" s="107"/>
      <c r="AA104" s="6"/>
      <c r="AB104" s="6"/>
      <c r="AD104" s="226"/>
      <c r="AE104" s="107"/>
      <c r="AF104" s="6"/>
      <c r="AG104" s="6"/>
    </row>
    <row r="105" spans="1:33" x14ac:dyDescent="0.2">
      <c r="A105" s="10">
        <v>10</v>
      </c>
      <c r="B105" s="167" t="str">
        <f>HLOOKUP(Language!$C$3,Language!$E$1:$Z564,27,FALSE)</f>
        <v>Secondary Functions</v>
      </c>
      <c r="C105" s="10" t="str">
        <f>HLOOKUP(Language!$C$3,Language!$E$1:$Z564,62,FALSE)</f>
        <v>Standard Issue</v>
      </c>
      <c r="D105" s="13">
        <v>1</v>
      </c>
      <c r="E105" s="10"/>
      <c r="F105" s="10" t="s">
        <v>56</v>
      </c>
      <c r="G105" s="11"/>
      <c r="I105" s="10" t="str">
        <f>HLOOKUP(Language!$C$3,Language!$E$1:$Z564,62,FALSE)</f>
        <v>Standard Issue</v>
      </c>
      <c r="J105" s="13">
        <v>1</v>
      </c>
      <c r="K105" s="10"/>
      <c r="L105" s="10" t="s">
        <v>56</v>
      </c>
      <c r="O105" s="10" t="str">
        <f>HLOOKUP(Language!$C$3,Language!$E$1:$Z564,62,FALSE)</f>
        <v>Standard Issue</v>
      </c>
      <c r="P105" s="13">
        <v>1</v>
      </c>
      <c r="Q105" s="10"/>
      <c r="R105" s="10" t="s">
        <v>56</v>
      </c>
      <c r="T105" s="10" t="str">
        <f>HLOOKUP(Language!$C$3,Language!$E$1:$Z564,62,FALSE)</f>
        <v>Standard Issue</v>
      </c>
      <c r="U105" s="13">
        <v>1</v>
      </c>
      <c r="V105" s="10"/>
      <c r="W105" s="10" t="s">
        <v>56</v>
      </c>
      <c r="Y105" s="10" t="str">
        <f>HLOOKUP(Language!$C$3,Language!$E$1:$Z564,62,FALSE)</f>
        <v>Standard Issue</v>
      </c>
      <c r="Z105" s="13">
        <v>1</v>
      </c>
      <c r="AA105" s="10"/>
      <c r="AB105" s="10" t="s">
        <v>56</v>
      </c>
      <c r="AD105" s="10" t="str">
        <f>HLOOKUP(Language!$C$3,Language!$E$1:$Z564,62,FALSE)</f>
        <v>Standard Issue</v>
      </c>
      <c r="AE105" s="13">
        <v>1</v>
      </c>
      <c r="AF105" s="10"/>
      <c r="AG105" s="10" t="s">
        <v>56</v>
      </c>
    </row>
    <row r="106" spans="1:33" x14ac:dyDescent="0.2">
      <c r="A106" s="11"/>
      <c r="B106" s="168"/>
      <c r="C106" s="11"/>
      <c r="D106" s="13"/>
      <c r="E106" s="13"/>
      <c r="F106" s="13"/>
      <c r="G106" s="11"/>
      <c r="I106" s="11"/>
      <c r="J106" s="13"/>
      <c r="K106" s="13"/>
      <c r="L106" s="13"/>
      <c r="O106" s="11"/>
      <c r="P106" s="13"/>
      <c r="Q106" s="13"/>
      <c r="R106" s="13"/>
      <c r="T106" s="11"/>
      <c r="U106" s="13"/>
      <c r="V106" s="13"/>
      <c r="W106" s="13"/>
      <c r="Y106" s="11"/>
      <c r="Z106" s="13"/>
      <c r="AA106" s="13"/>
      <c r="AB106" s="13"/>
      <c r="AD106" s="11"/>
      <c r="AE106" s="13"/>
      <c r="AF106" s="13"/>
      <c r="AG106" s="13"/>
    </row>
    <row r="107" spans="1:33" x14ac:dyDescent="0.2">
      <c r="A107" s="11"/>
      <c r="B107" s="168"/>
      <c r="C107" s="11"/>
      <c r="D107" s="13"/>
      <c r="E107" s="13"/>
      <c r="F107" s="13"/>
      <c r="G107" s="11"/>
      <c r="I107" s="11"/>
      <c r="J107" s="13"/>
      <c r="K107" s="13"/>
      <c r="L107" s="13"/>
      <c r="O107" s="11"/>
      <c r="P107" s="13"/>
      <c r="Q107" s="13"/>
      <c r="R107" s="13"/>
      <c r="T107" s="11"/>
      <c r="U107" s="13"/>
      <c r="V107" s="13"/>
      <c r="W107" s="13"/>
      <c r="Y107" s="11"/>
      <c r="Z107" s="13"/>
      <c r="AA107" s="13"/>
      <c r="AB107" s="13"/>
      <c r="AD107" s="11"/>
      <c r="AE107" s="13"/>
      <c r="AF107" s="13"/>
      <c r="AG107" s="13"/>
    </row>
    <row r="108" spans="1:33" x14ac:dyDescent="0.2">
      <c r="A108" s="11"/>
      <c r="B108" s="168"/>
      <c r="C108" s="11"/>
      <c r="D108" s="13"/>
      <c r="E108" s="13"/>
      <c r="F108" s="13"/>
      <c r="G108" s="11"/>
      <c r="I108" s="11"/>
      <c r="J108" s="13"/>
      <c r="K108" s="13"/>
      <c r="L108" s="13"/>
      <c r="O108" s="11"/>
      <c r="P108" s="13"/>
      <c r="Q108" s="13"/>
      <c r="R108" s="13"/>
      <c r="T108" s="11"/>
      <c r="U108" s="13"/>
      <c r="V108" s="13"/>
      <c r="W108" s="13"/>
      <c r="Y108" s="11"/>
      <c r="Z108" s="13"/>
      <c r="AA108" s="13"/>
      <c r="AB108" s="13"/>
      <c r="AD108" s="11"/>
      <c r="AE108" s="13"/>
      <c r="AF108" s="13"/>
      <c r="AG108" s="13"/>
    </row>
    <row r="109" spans="1:33" x14ac:dyDescent="0.2">
      <c r="A109" s="11"/>
      <c r="B109" s="168"/>
      <c r="C109" s="11"/>
      <c r="D109" s="13"/>
      <c r="E109" s="13"/>
      <c r="F109" s="13"/>
      <c r="G109" s="11"/>
      <c r="I109" s="11"/>
      <c r="J109" s="13"/>
      <c r="K109" s="13"/>
      <c r="L109" s="13"/>
      <c r="O109" s="11"/>
      <c r="P109" s="13"/>
      <c r="Q109" s="13"/>
      <c r="R109" s="13"/>
      <c r="T109" s="11"/>
      <c r="U109" s="13"/>
      <c r="V109" s="13"/>
      <c r="W109" s="13"/>
      <c r="Y109" s="11"/>
      <c r="Z109" s="13"/>
      <c r="AA109" s="13"/>
      <c r="AB109" s="13"/>
      <c r="AD109" s="11"/>
      <c r="AE109" s="13"/>
      <c r="AF109" s="13"/>
      <c r="AG109" s="13"/>
    </row>
    <row r="110" spans="1:33" x14ac:dyDescent="0.2">
      <c r="A110" s="11"/>
      <c r="B110" s="168"/>
      <c r="C110" s="11"/>
      <c r="D110" s="13"/>
      <c r="E110" s="13"/>
      <c r="F110" s="13"/>
      <c r="G110" s="11"/>
      <c r="I110" s="11"/>
      <c r="J110" s="13"/>
      <c r="K110" s="13"/>
      <c r="L110" s="13"/>
      <c r="O110" s="11"/>
      <c r="P110" s="13"/>
      <c r="Q110" s="13"/>
      <c r="R110" s="13"/>
      <c r="T110" s="11"/>
      <c r="U110" s="13"/>
      <c r="V110" s="13"/>
      <c r="W110" s="13"/>
      <c r="Y110" s="11"/>
      <c r="Z110" s="13"/>
      <c r="AA110" s="13"/>
      <c r="AB110" s="13"/>
      <c r="AD110" s="11"/>
      <c r="AE110" s="13"/>
      <c r="AF110" s="13"/>
      <c r="AG110" s="13"/>
    </row>
    <row r="111" spans="1:33" x14ac:dyDescent="0.2">
      <c r="A111" s="11"/>
      <c r="B111" s="168"/>
      <c r="C111" s="11"/>
      <c r="D111" s="13"/>
      <c r="E111" s="13"/>
      <c r="F111" s="13"/>
      <c r="G111" s="11"/>
      <c r="I111" s="11"/>
      <c r="J111" s="13"/>
      <c r="K111" s="13"/>
      <c r="L111" s="13"/>
      <c r="O111" s="11"/>
      <c r="P111" s="13"/>
      <c r="Q111" s="13"/>
      <c r="R111" s="13"/>
      <c r="T111" s="11"/>
      <c r="U111" s="13"/>
      <c r="V111" s="13"/>
      <c r="W111" s="13"/>
      <c r="Y111" s="11"/>
      <c r="Z111" s="13"/>
      <c r="AA111" s="13"/>
      <c r="AB111" s="13"/>
      <c r="AD111" s="11"/>
      <c r="AE111" s="13"/>
      <c r="AF111" s="13"/>
      <c r="AG111" s="13"/>
    </row>
    <row r="112" spans="1:33" x14ac:dyDescent="0.2">
      <c r="A112" s="11"/>
      <c r="B112" s="168"/>
      <c r="C112" s="11"/>
      <c r="D112" s="13"/>
      <c r="E112" s="13"/>
      <c r="F112" s="13"/>
      <c r="G112" s="11"/>
      <c r="I112" s="11"/>
      <c r="J112" s="13"/>
      <c r="K112" s="13"/>
      <c r="L112" s="13"/>
      <c r="O112" s="11"/>
      <c r="P112" s="13"/>
      <c r="Q112" s="13"/>
      <c r="R112" s="13"/>
      <c r="T112" s="11"/>
      <c r="U112" s="13"/>
      <c r="V112" s="13"/>
      <c r="W112" s="13"/>
      <c r="Y112" s="11"/>
      <c r="Z112" s="13"/>
      <c r="AA112" s="13"/>
      <c r="AB112" s="13"/>
      <c r="AD112" s="11"/>
      <c r="AE112" s="13"/>
      <c r="AF112" s="13"/>
      <c r="AG112" s="13"/>
    </row>
    <row r="113" spans="1:33" x14ac:dyDescent="0.2">
      <c r="A113" s="11"/>
      <c r="B113" s="168"/>
      <c r="C113" s="11"/>
      <c r="D113" s="13"/>
      <c r="E113" s="13"/>
      <c r="F113" s="13"/>
      <c r="G113" s="11"/>
      <c r="I113" s="11"/>
      <c r="J113" s="13"/>
      <c r="K113" s="13"/>
      <c r="L113" s="13"/>
      <c r="O113" s="11"/>
      <c r="P113" s="13"/>
      <c r="Q113" s="13"/>
      <c r="R113" s="13"/>
      <c r="T113" s="11"/>
      <c r="U113" s="13"/>
      <c r="V113" s="13"/>
      <c r="W113" s="13"/>
      <c r="Y113" s="11"/>
      <c r="Z113" s="13"/>
      <c r="AA113" s="13"/>
      <c r="AB113" s="13"/>
      <c r="AD113" s="11"/>
      <c r="AE113" s="13"/>
      <c r="AF113" s="13"/>
      <c r="AG113" s="13"/>
    </row>
    <row r="114" spans="1:33" x14ac:dyDescent="0.2">
      <c r="A114" s="16"/>
      <c r="B114" s="169"/>
      <c r="C114" s="16"/>
      <c r="D114" s="18"/>
      <c r="E114" s="18"/>
      <c r="F114" s="18"/>
      <c r="G114" s="11"/>
      <c r="I114" s="16"/>
      <c r="J114" s="18"/>
      <c r="K114" s="18"/>
      <c r="L114" s="18"/>
      <c r="O114" s="16"/>
      <c r="P114" s="18"/>
      <c r="Q114" s="18"/>
      <c r="R114" s="18"/>
      <c r="T114" s="16"/>
      <c r="U114" s="18"/>
      <c r="V114" s="18"/>
      <c r="W114" s="18"/>
      <c r="Y114" s="16"/>
      <c r="Z114" s="18"/>
      <c r="AA114" s="18"/>
      <c r="AB114" s="18"/>
      <c r="AD114" s="16"/>
      <c r="AE114" s="18"/>
      <c r="AF114" s="18"/>
      <c r="AG114" s="18"/>
    </row>
    <row r="115" spans="1:33" x14ac:dyDescent="0.2">
      <c r="A115" s="10">
        <v>11</v>
      </c>
      <c r="B115" s="108" t="str">
        <f>HLOOKUP(Language!$C$3,Language!$E$1:$Z572,29,FALSE)</f>
        <v>Firmware Version</v>
      </c>
      <c r="C115" s="11" t="str">
        <f>HLOOKUP(Language!$C$3,Language!$E$1:$Z572,56,FALSE)</f>
        <v>Latest available firmware - 01</v>
      </c>
      <c r="D115" s="136" t="s">
        <v>11</v>
      </c>
      <c r="E115" s="10"/>
      <c r="F115" s="10" t="s">
        <v>56</v>
      </c>
      <c r="G115" s="11"/>
      <c r="I115" s="11" t="str">
        <f>HLOOKUP(Language!$C$3,Language!$E$1:$Z572,74,FALSE)</f>
        <v>Latest available firmware - 02</v>
      </c>
      <c r="J115" s="136" t="s">
        <v>51</v>
      </c>
      <c r="K115" s="10"/>
      <c r="L115" s="10" t="s">
        <v>56</v>
      </c>
      <c r="O115" s="11" t="str">
        <f>HLOOKUP(Language!$C$3,Language!$E$1:$Z572,74,FALSE)</f>
        <v>Latest available firmware - 02</v>
      </c>
      <c r="P115" s="136" t="s">
        <v>51</v>
      </c>
      <c r="Q115" s="10"/>
      <c r="R115" s="10" t="s">
        <v>56</v>
      </c>
      <c r="T115" s="11" t="str">
        <f>HLOOKUP(Language!$C$3,Language!$E$1:$Z572,74,FALSE)</f>
        <v>Latest available firmware - 02</v>
      </c>
      <c r="U115" s="136" t="s">
        <v>51</v>
      </c>
      <c r="V115" s="10"/>
      <c r="W115" s="10" t="s">
        <v>56</v>
      </c>
      <c r="Y115" s="11" t="str">
        <f>HLOOKUP(Language!$C$3,Language!$E$1:$Z572,74,FALSE)</f>
        <v>Latest available firmware - 02</v>
      </c>
      <c r="Z115" s="136" t="s">
        <v>51</v>
      </c>
      <c r="AA115" s="10"/>
      <c r="AB115" s="10" t="s">
        <v>56</v>
      </c>
      <c r="AD115" s="11" t="str">
        <f>HLOOKUP(Language!$C$3,Language!$E$1:$Z572,74,FALSE)</f>
        <v>Latest available firmware - 02</v>
      </c>
      <c r="AE115" s="136" t="s">
        <v>51</v>
      </c>
      <c r="AF115" s="10"/>
      <c r="AG115" s="10" t="s">
        <v>56</v>
      </c>
    </row>
    <row r="116" spans="1:33" x14ac:dyDescent="0.2">
      <c r="A116" s="11"/>
      <c r="B116" s="109"/>
      <c r="C116" s="11"/>
      <c r="D116" s="13"/>
      <c r="E116" s="13"/>
      <c r="F116" s="13"/>
      <c r="G116" s="11"/>
      <c r="I116" s="11"/>
      <c r="J116" s="13"/>
      <c r="K116" s="13"/>
      <c r="L116" s="13"/>
      <c r="O116" s="11"/>
      <c r="P116" s="13"/>
      <c r="Q116" s="13"/>
      <c r="R116" s="13"/>
      <c r="T116" s="11"/>
      <c r="U116" s="13"/>
      <c r="V116" s="13"/>
      <c r="W116" s="13"/>
      <c r="Y116" s="11"/>
      <c r="Z116" s="13"/>
      <c r="AA116" s="13"/>
      <c r="AB116" s="13"/>
      <c r="AD116" s="11"/>
      <c r="AE116" s="13"/>
      <c r="AF116" s="13"/>
      <c r="AG116" s="13"/>
    </row>
    <row r="117" spans="1:33" x14ac:dyDescent="0.2">
      <c r="A117" s="11"/>
      <c r="B117" s="109"/>
      <c r="C117" s="11"/>
      <c r="D117" s="13"/>
      <c r="E117" s="13"/>
      <c r="F117" s="13"/>
      <c r="G117" s="11"/>
      <c r="I117" s="11"/>
      <c r="J117" s="13"/>
      <c r="K117" s="13"/>
      <c r="L117" s="13"/>
      <c r="O117" s="11"/>
      <c r="P117" s="13"/>
      <c r="Q117" s="13"/>
      <c r="R117" s="13"/>
      <c r="T117" s="11"/>
      <c r="U117" s="13"/>
      <c r="V117" s="13"/>
      <c r="W117" s="13"/>
      <c r="Y117" s="11"/>
      <c r="Z117" s="13"/>
      <c r="AA117" s="13"/>
      <c r="AB117" s="13"/>
      <c r="AD117" s="11"/>
      <c r="AE117" s="13"/>
      <c r="AF117" s="13"/>
      <c r="AG117" s="13"/>
    </row>
    <row r="118" spans="1:33" x14ac:dyDescent="0.2">
      <c r="A118" s="11"/>
      <c r="B118" s="109"/>
      <c r="C118" s="11"/>
      <c r="D118" s="13"/>
      <c r="E118" s="13"/>
      <c r="F118" s="13"/>
      <c r="G118" s="11"/>
      <c r="I118" s="11"/>
      <c r="J118" s="13"/>
      <c r="K118" s="13"/>
      <c r="L118" s="13"/>
      <c r="O118" s="11"/>
      <c r="P118" s="13"/>
      <c r="Q118" s="13"/>
      <c r="R118" s="13"/>
      <c r="T118" s="11"/>
      <c r="U118" s="13"/>
      <c r="V118" s="13"/>
      <c r="W118" s="13"/>
      <c r="Y118" s="11"/>
      <c r="Z118" s="13"/>
      <c r="AA118" s="13"/>
      <c r="AB118" s="13"/>
      <c r="AD118" s="11"/>
      <c r="AE118" s="13"/>
      <c r="AF118" s="13"/>
      <c r="AG118" s="13"/>
    </row>
    <row r="119" spans="1:33" x14ac:dyDescent="0.2">
      <c r="A119" s="11"/>
      <c r="B119" s="109"/>
      <c r="C119" s="11"/>
      <c r="D119" s="13"/>
      <c r="E119" s="13"/>
      <c r="F119" s="13"/>
      <c r="G119" s="11"/>
      <c r="I119" s="11"/>
      <c r="J119" s="13"/>
      <c r="K119" s="13"/>
      <c r="L119" s="13"/>
      <c r="O119" s="11"/>
      <c r="P119" s="13"/>
      <c r="Q119" s="13"/>
      <c r="R119" s="13"/>
      <c r="T119" s="11"/>
      <c r="U119" s="13"/>
      <c r="V119" s="13"/>
      <c r="W119" s="13"/>
      <c r="Y119" s="11"/>
      <c r="Z119" s="13"/>
      <c r="AA119" s="13"/>
      <c r="AB119" s="13"/>
      <c r="AD119" s="11"/>
      <c r="AE119" s="13"/>
      <c r="AF119" s="13"/>
      <c r="AG119" s="13"/>
    </row>
    <row r="120" spans="1:33" x14ac:dyDescent="0.2">
      <c r="A120" s="11"/>
      <c r="B120" s="109"/>
      <c r="C120" s="11"/>
      <c r="D120" s="13"/>
      <c r="E120" s="13"/>
      <c r="F120" s="13"/>
      <c r="G120" s="11"/>
      <c r="I120" s="11"/>
      <c r="J120" s="13"/>
      <c r="K120" s="13"/>
      <c r="L120" s="13"/>
      <c r="O120" s="11"/>
      <c r="P120" s="13"/>
      <c r="Q120" s="13"/>
      <c r="R120" s="13"/>
      <c r="T120" s="11"/>
      <c r="U120" s="13"/>
      <c r="V120" s="13"/>
      <c r="W120" s="13"/>
      <c r="Y120" s="11"/>
      <c r="Z120" s="13"/>
      <c r="AA120" s="13"/>
      <c r="AB120" s="13"/>
      <c r="AD120" s="11"/>
      <c r="AE120" s="13"/>
      <c r="AF120" s="13"/>
      <c r="AG120" s="13"/>
    </row>
    <row r="121" spans="1:33" x14ac:dyDescent="0.2">
      <c r="A121" s="11"/>
      <c r="B121" s="109"/>
      <c r="C121" s="11"/>
      <c r="D121" s="13"/>
      <c r="E121" s="13"/>
      <c r="F121" s="13"/>
      <c r="G121" s="11"/>
      <c r="I121" s="11"/>
      <c r="J121" s="13"/>
      <c r="K121" s="13"/>
      <c r="L121" s="13"/>
      <c r="O121" s="11"/>
      <c r="P121" s="13"/>
      <c r="Q121" s="13"/>
      <c r="R121" s="13"/>
      <c r="T121" s="11"/>
      <c r="U121" s="13"/>
      <c r="V121" s="13"/>
      <c r="W121" s="13"/>
      <c r="Y121" s="11"/>
      <c r="Z121" s="13"/>
      <c r="AA121" s="13"/>
      <c r="AB121" s="13"/>
      <c r="AD121" s="11"/>
      <c r="AE121" s="13"/>
      <c r="AF121" s="13"/>
      <c r="AG121" s="13"/>
    </row>
    <row r="122" spans="1:33" x14ac:dyDescent="0.2">
      <c r="A122" s="11"/>
      <c r="B122" s="109"/>
      <c r="C122" s="11"/>
      <c r="D122" s="13"/>
      <c r="E122" s="13"/>
      <c r="F122" s="13"/>
      <c r="G122" s="11"/>
      <c r="I122" s="11"/>
      <c r="J122" s="13"/>
      <c r="K122" s="13"/>
      <c r="L122" s="13"/>
      <c r="O122" s="11"/>
      <c r="P122" s="13"/>
      <c r="Q122" s="13"/>
      <c r="R122" s="13"/>
      <c r="T122" s="11"/>
      <c r="U122" s="13"/>
      <c r="V122" s="13"/>
      <c r="W122" s="13"/>
      <c r="Y122" s="11"/>
      <c r="Z122" s="13"/>
      <c r="AA122" s="13"/>
      <c r="AB122" s="13"/>
      <c r="AD122" s="11"/>
      <c r="AE122" s="13"/>
      <c r="AF122" s="13"/>
      <c r="AG122" s="13"/>
    </row>
    <row r="123" spans="1:33" x14ac:dyDescent="0.2">
      <c r="A123" s="11"/>
      <c r="B123" s="109"/>
      <c r="C123" s="11"/>
      <c r="D123" s="13"/>
      <c r="E123" s="13"/>
      <c r="F123" s="13"/>
      <c r="G123" s="11"/>
      <c r="I123" s="11"/>
      <c r="J123" s="13"/>
      <c r="K123" s="13"/>
      <c r="L123" s="13"/>
      <c r="O123" s="11"/>
      <c r="P123" s="13"/>
      <c r="Q123" s="13"/>
      <c r="R123" s="13"/>
      <c r="T123" s="11"/>
      <c r="U123" s="13"/>
      <c r="V123" s="13"/>
      <c r="W123" s="13"/>
      <c r="Y123" s="11"/>
      <c r="Z123" s="13"/>
      <c r="AA123" s="13"/>
      <c r="AB123" s="13"/>
      <c r="AD123" s="11"/>
      <c r="AE123" s="13"/>
      <c r="AF123" s="13"/>
      <c r="AG123" s="13"/>
    </row>
    <row r="124" spans="1:33" x14ac:dyDescent="0.2">
      <c r="A124" s="16"/>
      <c r="B124" s="110"/>
      <c r="C124" s="16"/>
      <c r="D124" s="18"/>
      <c r="E124" s="18"/>
      <c r="F124" s="18"/>
      <c r="G124" s="11"/>
      <c r="I124" s="16"/>
      <c r="J124" s="18"/>
      <c r="K124" s="18"/>
      <c r="L124" s="18"/>
      <c r="O124" s="16"/>
      <c r="P124" s="18"/>
      <c r="Q124" s="18"/>
      <c r="R124" s="18"/>
      <c r="T124" s="16"/>
      <c r="U124" s="18"/>
      <c r="V124" s="18"/>
      <c r="W124" s="18"/>
      <c r="Y124" s="16"/>
      <c r="Z124" s="18"/>
      <c r="AA124" s="18"/>
      <c r="AB124" s="18"/>
      <c r="AD124" s="16"/>
      <c r="AE124" s="18"/>
      <c r="AF124" s="18"/>
      <c r="AG124" s="18"/>
    </row>
    <row r="125" spans="1:33" x14ac:dyDescent="0.2">
      <c r="A125" s="10">
        <v>12</v>
      </c>
      <c r="B125" s="108" t="str">
        <f>HLOOKUP(Language!$C$3,Language!$E$1:$Z580,59,FALSE)</f>
        <v>Warranty</v>
      </c>
      <c r="C125" s="10" t="str">
        <f>HLOOKUP(Language!$C$3,Language!$E$1:$Z580,61,FALSE)</f>
        <v>Standard warranty</v>
      </c>
      <c r="D125" s="10">
        <v>0</v>
      </c>
      <c r="E125" s="10"/>
      <c r="F125" s="10" t="s">
        <v>56</v>
      </c>
      <c r="G125" s="11"/>
      <c r="I125" s="10" t="str">
        <f>HLOOKUP(Language!$C$3,Language!$E$1:$Z580,61,FALSE)</f>
        <v>Standard warranty</v>
      </c>
      <c r="J125" s="10">
        <v>0</v>
      </c>
      <c r="K125" s="10"/>
      <c r="L125" s="10" t="s">
        <v>56</v>
      </c>
      <c r="O125" s="10" t="str">
        <f>HLOOKUP(Language!$C$3,Language!$E$1:$Z580,61,FALSE)</f>
        <v>Standard warranty</v>
      </c>
      <c r="P125" s="10">
        <v>0</v>
      </c>
      <c r="Q125" s="10"/>
      <c r="R125" s="10" t="s">
        <v>56</v>
      </c>
      <c r="T125" s="10" t="str">
        <f>HLOOKUP(Language!$C$3,Language!$E$1:$Z580,61,FALSE)</f>
        <v>Standard warranty</v>
      </c>
      <c r="U125" s="10">
        <v>0</v>
      </c>
      <c r="V125" s="10"/>
      <c r="W125" s="10" t="s">
        <v>56</v>
      </c>
      <c r="Y125" s="10" t="str">
        <f>HLOOKUP(Language!$C$3,Language!$E$1:$Z580,61,FALSE)</f>
        <v>Standard warranty</v>
      </c>
      <c r="Z125" s="10">
        <v>0</v>
      </c>
      <c r="AA125" s="10"/>
      <c r="AB125" s="10" t="s">
        <v>56</v>
      </c>
      <c r="AD125" s="10" t="str">
        <f>HLOOKUP(Language!$C$3,Language!$E$1:$Z580,61,FALSE)</f>
        <v>Standard warranty</v>
      </c>
      <c r="AE125" s="10">
        <v>0</v>
      </c>
      <c r="AF125" s="10"/>
      <c r="AG125" s="10" t="s">
        <v>56</v>
      </c>
    </row>
    <row r="126" spans="1:33" x14ac:dyDescent="0.2">
      <c r="A126" s="11"/>
      <c r="B126" s="109"/>
      <c r="C126" s="11"/>
      <c r="D126" s="13"/>
      <c r="E126" s="13"/>
      <c r="F126" s="13"/>
      <c r="G126" s="11"/>
      <c r="I126" s="11"/>
      <c r="J126" s="13"/>
      <c r="K126" s="13"/>
      <c r="L126" s="13"/>
      <c r="O126" s="11"/>
      <c r="P126" s="13"/>
      <c r="Q126" s="13"/>
      <c r="R126" s="13"/>
      <c r="T126" s="11"/>
      <c r="U126" s="13"/>
      <c r="V126" s="13"/>
      <c r="W126" s="13"/>
      <c r="Y126" s="11"/>
      <c r="Z126" s="13"/>
      <c r="AA126" s="13"/>
      <c r="AB126" s="13"/>
      <c r="AD126" s="11"/>
      <c r="AE126" s="13"/>
      <c r="AF126" s="13"/>
      <c r="AG126" s="13"/>
    </row>
    <row r="127" spans="1:33" x14ac:dyDescent="0.2">
      <c r="A127" s="11"/>
      <c r="B127" s="109"/>
      <c r="C127" s="11"/>
      <c r="D127" s="13"/>
      <c r="E127" s="13"/>
      <c r="F127" s="13"/>
      <c r="G127" s="11"/>
      <c r="I127" s="11"/>
      <c r="J127" s="13"/>
      <c r="K127" s="13"/>
      <c r="L127" s="13"/>
      <c r="O127" s="11"/>
      <c r="P127" s="13"/>
      <c r="Q127" s="13"/>
      <c r="R127" s="13"/>
      <c r="T127" s="11"/>
      <c r="U127" s="13"/>
      <c r="V127" s="13"/>
      <c r="W127" s="13"/>
      <c r="Y127" s="11"/>
      <c r="Z127" s="13"/>
      <c r="AA127" s="13"/>
      <c r="AB127" s="13"/>
      <c r="AD127" s="11"/>
      <c r="AE127" s="13"/>
      <c r="AF127" s="13"/>
      <c r="AG127" s="13"/>
    </row>
    <row r="128" spans="1:33" x14ac:dyDescent="0.2">
      <c r="A128" s="11"/>
      <c r="B128" s="109"/>
      <c r="C128" s="11"/>
      <c r="D128" s="13"/>
      <c r="E128" s="13"/>
      <c r="F128" s="13"/>
      <c r="G128" s="11"/>
      <c r="I128" s="11"/>
      <c r="J128" s="13"/>
      <c r="K128" s="13"/>
      <c r="L128" s="13"/>
      <c r="O128" s="11"/>
      <c r="P128" s="13"/>
      <c r="Q128" s="13"/>
      <c r="R128" s="13"/>
      <c r="T128" s="11"/>
      <c r="U128" s="13"/>
      <c r="V128" s="13"/>
      <c r="W128" s="13"/>
      <c r="Y128" s="11"/>
      <c r="Z128" s="13"/>
      <c r="AA128" s="13"/>
      <c r="AB128" s="13"/>
      <c r="AD128" s="11"/>
      <c r="AE128" s="13"/>
      <c r="AF128" s="13"/>
      <c r="AG128" s="13"/>
    </row>
    <row r="129" spans="1:33" x14ac:dyDescent="0.2">
      <c r="A129" s="11"/>
      <c r="B129" s="109"/>
      <c r="C129" s="11"/>
      <c r="D129" s="13"/>
      <c r="E129" s="13"/>
      <c r="F129" s="13"/>
      <c r="G129" s="11"/>
      <c r="I129" s="11"/>
      <c r="J129" s="13"/>
      <c r="K129" s="13"/>
      <c r="L129" s="13"/>
      <c r="O129" s="11"/>
      <c r="P129" s="13"/>
      <c r="Q129" s="13"/>
      <c r="R129" s="13"/>
      <c r="T129" s="11"/>
      <c r="U129" s="13"/>
      <c r="V129" s="13"/>
      <c r="W129" s="13"/>
      <c r="Y129" s="11"/>
      <c r="Z129" s="13"/>
      <c r="AA129" s="13"/>
      <c r="AB129" s="13"/>
      <c r="AD129" s="11"/>
      <c r="AE129" s="13"/>
      <c r="AF129" s="13"/>
      <c r="AG129" s="13"/>
    </row>
    <row r="130" spans="1:33" x14ac:dyDescent="0.2">
      <c r="A130" s="11"/>
      <c r="B130" s="109"/>
      <c r="C130" s="11"/>
      <c r="D130" s="13"/>
      <c r="E130" s="13"/>
      <c r="F130" s="13"/>
      <c r="G130" s="11"/>
      <c r="I130" s="11"/>
      <c r="J130" s="13"/>
      <c r="K130" s="13"/>
      <c r="L130" s="13"/>
      <c r="O130" s="11"/>
      <c r="P130" s="13"/>
      <c r="Q130" s="13"/>
      <c r="R130" s="13"/>
      <c r="T130" s="11"/>
      <c r="U130" s="13"/>
      <c r="V130" s="13"/>
      <c r="W130" s="13"/>
      <c r="Y130" s="11"/>
      <c r="Z130" s="13"/>
      <c r="AA130" s="13"/>
      <c r="AB130" s="13"/>
      <c r="AD130" s="11"/>
      <c r="AE130" s="13"/>
      <c r="AF130" s="13"/>
      <c r="AG130" s="13"/>
    </row>
    <row r="131" spans="1:33" x14ac:dyDescent="0.2">
      <c r="A131" s="11"/>
      <c r="B131" s="109"/>
      <c r="C131" s="11"/>
      <c r="D131" s="13"/>
      <c r="E131" s="13"/>
      <c r="F131" s="13"/>
      <c r="G131" s="11"/>
      <c r="I131" s="11"/>
      <c r="J131" s="13"/>
      <c r="K131" s="13"/>
      <c r="L131" s="13"/>
      <c r="O131" s="11"/>
      <c r="P131" s="13"/>
      <c r="Q131" s="13"/>
      <c r="R131" s="13"/>
      <c r="T131" s="11"/>
      <c r="U131" s="13"/>
      <c r="V131" s="13"/>
      <c r="W131" s="13"/>
      <c r="Y131" s="11"/>
      <c r="Z131" s="13"/>
      <c r="AA131" s="13"/>
      <c r="AB131" s="13"/>
      <c r="AD131" s="11"/>
      <c r="AE131" s="13"/>
      <c r="AF131" s="13"/>
      <c r="AG131" s="13"/>
    </row>
    <row r="132" spans="1:33" x14ac:dyDescent="0.2">
      <c r="A132" s="11"/>
      <c r="B132" s="109"/>
      <c r="C132" s="11"/>
      <c r="D132" s="13"/>
      <c r="E132" s="13"/>
      <c r="F132" s="13"/>
      <c r="G132" s="11"/>
      <c r="I132" s="11"/>
      <c r="J132" s="13"/>
      <c r="K132" s="13"/>
      <c r="L132" s="13"/>
      <c r="O132" s="11"/>
      <c r="P132" s="13"/>
      <c r="Q132" s="13"/>
      <c r="R132" s="13"/>
      <c r="T132" s="11"/>
      <c r="U132" s="13"/>
      <c r="V132" s="13"/>
      <c r="W132" s="13"/>
      <c r="Y132" s="11"/>
      <c r="Z132" s="13"/>
      <c r="AA132" s="13"/>
      <c r="AB132" s="13"/>
      <c r="AD132" s="11"/>
      <c r="AE132" s="13"/>
      <c r="AF132" s="13"/>
      <c r="AG132" s="13"/>
    </row>
    <row r="133" spans="1:33" x14ac:dyDescent="0.2">
      <c r="A133" s="11"/>
      <c r="B133" s="109"/>
      <c r="C133" s="11"/>
      <c r="D133" s="13"/>
      <c r="E133" s="13"/>
      <c r="F133" s="13"/>
      <c r="G133" s="11"/>
      <c r="I133" s="11"/>
      <c r="J133" s="13"/>
      <c r="K133" s="13"/>
      <c r="L133" s="13"/>
      <c r="O133" s="11"/>
      <c r="P133" s="13"/>
      <c r="Q133" s="13"/>
      <c r="R133" s="13"/>
      <c r="T133" s="11"/>
      <c r="U133" s="13"/>
      <c r="V133" s="13"/>
      <c r="W133" s="13"/>
      <c r="Y133" s="11"/>
      <c r="Z133" s="13"/>
      <c r="AA133" s="13"/>
      <c r="AB133" s="13"/>
      <c r="AD133" s="11"/>
      <c r="AE133" s="13"/>
      <c r="AF133" s="13"/>
      <c r="AG133" s="13"/>
    </row>
    <row r="134" spans="1:33" x14ac:dyDescent="0.2">
      <c r="A134" s="16"/>
      <c r="B134" s="110"/>
      <c r="C134" s="16"/>
      <c r="D134" s="18"/>
      <c r="E134" s="18"/>
      <c r="F134" s="18"/>
      <c r="G134" s="11"/>
      <c r="I134" s="16"/>
      <c r="J134" s="18"/>
      <c r="K134" s="18"/>
      <c r="L134" s="18"/>
      <c r="O134" s="16"/>
      <c r="P134" s="18"/>
      <c r="Q134" s="18"/>
      <c r="R134" s="18"/>
      <c r="T134" s="16"/>
      <c r="U134" s="18"/>
      <c r="V134" s="18"/>
      <c r="W134" s="18"/>
      <c r="Y134" s="16"/>
      <c r="Z134" s="18"/>
      <c r="AA134" s="18"/>
      <c r="AB134" s="18"/>
      <c r="AD134" s="11"/>
      <c r="AE134" s="13"/>
      <c r="AF134" s="13"/>
      <c r="AG134" s="13"/>
    </row>
    <row r="135" spans="1:33" x14ac:dyDescent="0.2">
      <c r="A135" s="10">
        <v>13</v>
      </c>
      <c r="B135" s="108" t="str">
        <f>HLOOKUP(Language!$C$3,Language!$E$1:$Z588,60,FALSE)</f>
        <v>Hardware Design Suffix</v>
      </c>
      <c r="C135" s="10" t="str">
        <f>HLOOKUP(Language!$C$3,Language!$E$1:$Z588,28,FALSE)</f>
        <v>Initial version</v>
      </c>
      <c r="D135" s="10" t="s">
        <v>0</v>
      </c>
      <c r="E135" s="10"/>
      <c r="F135" s="10" t="s">
        <v>56</v>
      </c>
      <c r="G135" s="11"/>
      <c r="I135" s="106" t="str">
        <f>HLOOKUP(Language!$C$3,Language!$E$1:$Z588,28,FALSE)</f>
        <v>Initial version</v>
      </c>
      <c r="J135" s="106" t="s">
        <v>0</v>
      </c>
      <c r="K135" s="106"/>
      <c r="L135" s="106" t="s">
        <v>56</v>
      </c>
      <c r="O135" s="106" t="str">
        <f>HLOOKUP(Language!$C$3,Language!$E$1:$Z588,28,FALSE)</f>
        <v>Initial version</v>
      </c>
      <c r="P135" s="106" t="s">
        <v>0</v>
      </c>
      <c r="Q135" s="106"/>
      <c r="R135" s="106" t="s">
        <v>56</v>
      </c>
      <c r="T135" s="238" t="str">
        <f>HLOOKUP(Language!$C$3,Language!$E$1:$Z590,78,FALSE)</f>
        <v>Hardware Version A</v>
      </c>
      <c r="U135" s="238" t="s">
        <v>0</v>
      </c>
      <c r="V135" s="238"/>
      <c r="W135" s="238" t="s">
        <v>56</v>
      </c>
      <c r="X135" s="239"/>
      <c r="Y135" s="10" t="str">
        <f>HLOOKUP(Language!$C$3,Language!$E$1:$Z590,78,FALSE)</f>
        <v>Hardware Version A</v>
      </c>
      <c r="Z135" s="10" t="s">
        <v>0</v>
      </c>
      <c r="AA135" s="10"/>
      <c r="AB135" s="10" t="s">
        <v>56</v>
      </c>
      <c r="AD135" s="14" t="str">
        <f>HLOOKUP(Language!$C$3,Language!$E$1:$Z591,79,FALSE)</f>
        <v>Hardware Version B</v>
      </c>
      <c r="AE135" s="10" t="s">
        <v>217</v>
      </c>
      <c r="AF135" s="12"/>
      <c r="AG135" s="12" t="s">
        <v>56</v>
      </c>
    </row>
    <row r="136" spans="1:33" x14ac:dyDescent="0.2">
      <c r="A136" s="11"/>
      <c r="B136" s="109"/>
      <c r="C136" s="11"/>
      <c r="D136" s="13"/>
      <c r="E136" s="13"/>
      <c r="F136" s="13"/>
      <c r="G136" s="11"/>
      <c r="I136" s="11"/>
      <c r="J136" s="13"/>
      <c r="K136" s="13"/>
      <c r="L136" s="13"/>
      <c r="O136" s="11"/>
      <c r="P136" s="13"/>
      <c r="Q136" s="13"/>
      <c r="R136" s="13"/>
      <c r="T136" s="11" t="str">
        <f>HLOOKUP(Language!$C$3,Language!$E$1:$Z590,79,FALSE)</f>
        <v>Hardware Version B</v>
      </c>
      <c r="U136" s="13" t="s">
        <v>217</v>
      </c>
      <c r="V136" s="13"/>
      <c r="W136" s="13" t="s">
        <v>56</v>
      </c>
      <c r="Y136" s="11" t="str">
        <f>HLOOKUP(Language!$C$3,Language!$E$1:$Z590,79,FALSE)</f>
        <v>Hardware Version B</v>
      </c>
      <c r="Z136" s="13" t="s">
        <v>217</v>
      </c>
      <c r="AA136" s="13"/>
      <c r="AB136" s="13" t="s">
        <v>56</v>
      </c>
      <c r="AD136" s="245"/>
      <c r="AE136" s="248"/>
      <c r="AF136" s="13"/>
      <c r="AG136" s="246"/>
    </row>
    <row r="137" spans="1:33" x14ac:dyDescent="0.2">
      <c r="A137" s="11"/>
      <c r="B137" s="109"/>
      <c r="C137" s="11"/>
      <c r="D137" s="13"/>
      <c r="E137" s="13"/>
      <c r="F137" s="13"/>
      <c r="G137" s="11"/>
      <c r="I137" s="11"/>
      <c r="J137" s="13"/>
      <c r="K137" s="13"/>
      <c r="L137" s="13"/>
      <c r="O137" s="11"/>
      <c r="P137" s="13"/>
      <c r="Q137" s="13"/>
      <c r="R137" s="13"/>
      <c r="T137" s="11"/>
      <c r="U137" s="13"/>
      <c r="V137" s="13"/>
      <c r="W137" s="13"/>
      <c r="Y137" s="11"/>
      <c r="Z137" s="13"/>
      <c r="AA137" s="13"/>
      <c r="AB137" s="13"/>
      <c r="AD137" s="225"/>
      <c r="AE137" s="11"/>
      <c r="AF137" s="13"/>
      <c r="AG137" s="13"/>
    </row>
    <row r="138" spans="1:33" x14ac:dyDescent="0.2">
      <c r="A138" s="11"/>
      <c r="B138" s="109"/>
      <c r="C138" s="11"/>
      <c r="D138" s="13"/>
      <c r="E138" s="13"/>
      <c r="F138" s="13"/>
      <c r="G138" s="11"/>
      <c r="I138" s="11"/>
      <c r="J138" s="13"/>
      <c r="K138" s="13"/>
      <c r="L138" s="13"/>
      <c r="O138" s="11"/>
      <c r="P138" s="13"/>
      <c r="Q138" s="13"/>
      <c r="R138" s="13"/>
      <c r="T138" s="11"/>
      <c r="U138" s="13"/>
      <c r="V138" s="13"/>
      <c r="W138" s="13"/>
      <c r="Y138" s="11"/>
      <c r="Z138" s="13"/>
      <c r="AA138" s="13"/>
      <c r="AB138" s="13"/>
      <c r="AD138" s="225"/>
      <c r="AE138" s="11"/>
      <c r="AF138" s="13"/>
      <c r="AG138" s="13"/>
    </row>
    <row r="139" spans="1:33" x14ac:dyDescent="0.2">
      <c r="A139" s="11"/>
      <c r="B139" s="109"/>
      <c r="C139" s="11"/>
      <c r="D139" s="13"/>
      <c r="E139" s="13"/>
      <c r="F139" s="13"/>
      <c r="G139" s="11"/>
      <c r="I139" s="11"/>
      <c r="J139" s="13"/>
      <c r="K139" s="13"/>
      <c r="L139" s="13"/>
      <c r="O139" s="11"/>
      <c r="P139" s="13"/>
      <c r="Q139" s="13"/>
      <c r="R139" s="13"/>
      <c r="T139" s="11"/>
      <c r="U139" s="13"/>
      <c r="V139" s="13"/>
      <c r="W139" s="13"/>
      <c r="Y139" s="11"/>
      <c r="Z139" s="13"/>
      <c r="AA139" s="13"/>
      <c r="AB139" s="13"/>
      <c r="AD139" s="225"/>
      <c r="AE139" s="11"/>
      <c r="AF139" s="13"/>
      <c r="AG139" s="13"/>
    </row>
    <row r="140" spans="1:33" x14ac:dyDescent="0.2">
      <c r="A140" s="11"/>
      <c r="B140" s="109"/>
      <c r="C140" s="11"/>
      <c r="D140" s="13"/>
      <c r="E140" s="13"/>
      <c r="F140" s="13"/>
      <c r="G140" s="11"/>
      <c r="I140" s="11"/>
      <c r="J140" s="13"/>
      <c r="K140" s="13"/>
      <c r="L140" s="13"/>
      <c r="O140" s="11"/>
      <c r="P140" s="13"/>
      <c r="Q140" s="13"/>
      <c r="R140" s="13"/>
      <c r="T140" s="11"/>
      <c r="U140" s="13"/>
      <c r="V140" s="13"/>
      <c r="W140" s="13"/>
      <c r="Y140" s="11"/>
      <c r="Z140" s="13"/>
      <c r="AA140" s="13"/>
      <c r="AB140" s="13"/>
      <c r="AD140" s="225"/>
      <c r="AE140" s="11"/>
      <c r="AF140" s="13"/>
      <c r="AG140" s="13"/>
    </row>
    <row r="141" spans="1:33" x14ac:dyDescent="0.2">
      <c r="A141" s="11"/>
      <c r="B141" s="109"/>
      <c r="C141" s="11"/>
      <c r="D141" s="13"/>
      <c r="E141" s="13"/>
      <c r="F141" s="13"/>
      <c r="G141" s="11"/>
      <c r="I141" s="11"/>
      <c r="J141" s="13"/>
      <c r="K141" s="13"/>
      <c r="L141" s="13"/>
      <c r="O141" s="11"/>
      <c r="P141" s="13"/>
      <c r="Q141" s="13"/>
      <c r="R141" s="13"/>
      <c r="T141" s="11"/>
      <c r="U141" s="13"/>
      <c r="V141" s="13"/>
      <c r="W141" s="13"/>
      <c r="Y141" s="11"/>
      <c r="Z141" s="13"/>
      <c r="AA141" s="13"/>
      <c r="AB141" s="13"/>
      <c r="AD141" s="225"/>
      <c r="AE141" s="11"/>
      <c r="AF141" s="13"/>
      <c r="AG141" s="13"/>
    </row>
    <row r="142" spans="1:33" x14ac:dyDescent="0.2">
      <c r="A142" s="16"/>
      <c r="B142" s="110"/>
      <c r="C142" s="16"/>
      <c r="D142" s="18"/>
      <c r="E142" s="18"/>
      <c r="F142" s="18"/>
      <c r="G142" s="11"/>
      <c r="I142" s="16"/>
      <c r="J142" s="18"/>
      <c r="K142" s="18"/>
      <c r="L142" s="18"/>
      <c r="O142" s="16"/>
      <c r="P142" s="18"/>
      <c r="Q142" s="18"/>
      <c r="R142" s="18"/>
      <c r="T142" s="16"/>
      <c r="U142" s="18"/>
      <c r="V142" s="18"/>
      <c r="W142" s="18"/>
      <c r="Y142" s="16"/>
      <c r="Z142" s="18"/>
      <c r="AA142" s="18"/>
      <c r="AB142" s="18"/>
      <c r="AD142" s="247"/>
      <c r="AE142" s="16"/>
      <c r="AF142" s="18"/>
      <c r="AG142" s="18"/>
    </row>
  </sheetData>
  <sheetProtection algorithmName="SHA-512" hashValue="6Js9LsUaWf35XzsRMSoP19ZrZMK8TToW7h2VQABu5+t37Jaos5n0ByzQDeUxlOMWmSubKs1B5E0orZr6QTGD8Q==" saltValue="bLGq4ZzXKJai518SIRKKXA==" spinCount="100000" sheet="1" objects="1" scenarios="1"/>
  <phoneticPr fontId="18" type="noConversion"/>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83"/>
  <sheetViews>
    <sheetView topLeftCell="A61" workbookViewId="0">
      <selection activeCell="E76" sqref="E76"/>
    </sheetView>
  </sheetViews>
  <sheetFormatPr defaultRowHeight="15" x14ac:dyDescent="0.25"/>
  <cols>
    <col min="1" max="1" width="2.42578125" style="76" customWidth="1"/>
    <col min="2" max="2" width="28.85546875" style="77" customWidth="1"/>
    <col min="3" max="3" width="3.140625" style="78" customWidth="1"/>
    <col min="4" max="4" width="3.140625" style="77" customWidth="1"/>
    <col min="5" max="6" width="72.7109375" style="159" customWidth="1"/>
    <col min="7" max="7" width="72.7109375" style="163" customWidth="1"/>
    <col min="8" max="8" width="69.28515625" customWidth="1"/>
  </cols>
  <sheetData>
    <row r="1" spans="1:8" x14ac:dyDescent="0.25">
      <c r="B1" s="77" t="s">
        <v>12</v>
      </c>
      <c r="E1" s="159" t="s">
        <v>13</v>
      </c>
      <c r="F1" s="159" t="s">
        <v>14</v>
      </c>
      <c r="G1" s="159" t="s">
        <v>15</v>
      </c>
      <c r="H1" s="159" t="s">
        <v>186</v>
      </c>
    </row>
    <row r="2" spans="1:8" x14ac:dyDescent="0.25">
      <c r="E2" s="159" t="s">
        <v>6</v>
      </c>
      <c r="F2" s="159" t="s">
        <v>16</v>
      </c>
      <c r="G2" s="159" t="s">
        <v>16</v>
      </c>
      <c r="H2" s="227" t="s">
        <v>187</v>
      </c>
    </row>
    <row r="3" spans="1:8" x14ac:dyDescent="0.25">
      <c r="A3" s="79">
        <v>1</v>
      </c>
      <c r="B3" s="80" t="str">
        <f>VLOOKUP(A3,A4:C6,2,FALSE)</f>
        <v>English</v>
      </c>
      <c r="C3" s="81" t="str">
        <f>VLOOKUP(A3,A4:C6,3,FALSE)</f>
        <v>En</v>
      </c>
      <c r="E3" s="159" t="s">
        <v>84</v>
      </c>
      <c r="F3" s="159" t="s">
        <v>84</v>
      </c>
      <c r="G3" s="159" t="s">
        <v>84</v>
      </c>
      <c r="H3" s="227"/>
    </row>
    <row r="4" spans="1:8" x14ac:dyDescent="0.25">
      <c r="A4" s="82">
        <v>1</v>
      </c>
      <c r="B4" s="77" t="s">
        <v>17</v>
      </c>
      <c r="C4" s="83" t="s">
        <v>13</v>
      </c>
      <c r="E4" s="159" t="s">
        <v>83</v>
      </c>
      <c r="F4" s="159" t="s">
        <v>83</v>
      </c>
      <c r="G4" s="159" t="s">
        <v>83</v>
      </c>
      <c r="H4" s="227" t="s">
        <v>83</v>
      </c>
    </row>
    <row r="5" spans="1:8" x14ac:dyDescent="0.25">
      <c r="A5" s="82">
        <v>2</v>
      </c>
      <c r="B5" s="77" t="s">
        <v>18</v>
      </c>
      <c r="C5" s="83" t="s">
        <v>14</v>
      </c>
      <c r="E5" s="159" t="s">
        <v>86</v>
      </c>
      <c r="F5" s="159" t="s">
        <v>122</v>
      </c>
      <c r="G5" s="159" t="s">
        <v>123</v>
      </c>
      <c r="H5" s="228" t="s">
        <v>188</v>
      </c>
    </row>
    <row r="6" spans="1:8" x14ac:dyDescent="0.25">
      <c r="A6" s="84">
        <v>3</v>
      </c>
      <c r="B6" s="85" t="s">
        <v>19</v>
      </c>
      <c r="C6" s="86" t="s">
        <v>15</v>
      </c>
      <c r="E6" s="159" t="s">
        <v>76</v>
      </c>
      <c r="F6" s="159" t="s">
        <v>77</v>
      </c>
      <c r="G6" s="159" t="s">
        <v>77</v>
      </c>
      <c r="H6" s="227" t="s">
        <v>76</v>
      </c>
    </row>
    <row r="7" spans="1:8" x14ac:dyDescent="0.25">
      <c r="A7" s="76">
        <v>4</v>
      </c>
      <c r="B7" s="77" t="s">
        <v>185</v>
      </c>
      <c r="C7" s="78" t="s">
        <v>186</v>
      </c>
      <c r="E7" s="159" t="s">
        <v>87</v>
      </c>
      <c r="F7" s="159" t="s">
        <v>124</v>
      </c>
      <c r="G7" s="159" t="s">
        <v>125</v>
      </c>
      <c r="H7" s="228" t="s">
        <v>189</v>
      </c>
    </row>
    <row r="8" spans="1:8" ht="26.25" x14ac:dyDescent="0.25">
      <c r="E8" s="159" t="s">
        <v>177</v>
      </c>
      <c r="F8" s="159" t="s">
        <v>174</v>
      </c>
      <c r="G8" s="159" t="s">
        <v>175</v>
      </c>
      <c r="H8" s="227" t="s">
        <v>190</v>
      </c>
    </row>
    <row r="9" spans="1:8" x14ac:dyDescent="0.25">
      <c r="E9" s="159" t="s">
        <v>88</v>
      </c>
      <c r="F9" s="159" t="s">
        <v>126</v>
      </c>
      <c r="G9" s="159" t="s">
        <v>157</v>
      </c>
      <c r="H9" s="228" t="s">
        <v>191</v>
      </c>
    </row>
    <row r="10" spans="1:8" x14ac:dyDescent="0.25">
      <c r="E10" s="159" t="s">
        <v>100</v>
      </c>
      <c r="F10" s="159" t="s">
        <v>127</v>
      </c>
      <c r="G10" s="159" t="s">
        <v>155</v>
      </c>
      <c r="H10" s="227" t="s">
        <v>192</v>
      </c>
    </row>
    <row r="11" spans="1:8" x14ac:dyDescent="0.25">
      <c r="E11" s="159" t="s">
        <v>101</v>
      </c>
      <c r="F11" s="159" t="s">
        <v>128</v>
      </c>
      <c r="G11" s="159" t="s">
        <v>156</v>
      </c>
      <c r="H11" s="227" t="s">
        <v>193</v>
      </c>
    </row>
    <row r="12" spans="1:8" x14ac:dyDescent="0.25">
      <c r="E12" s="159" t="s">
        <v>102</v>
      </c>
      <c r="F12" s="159" t="s">
        <v>38</v>
      </c>
      <c r="G12" s="159" t="s">
        <v>39</v>
      </c>
      <c r="H12" s="227" t="s">
        <v>194</v>
      </c>
    </row>
    <row r="13" spans="1:8" x14ac:dyDescent="0.25">
      <c r="E13" s="159" t="s">
        <v>92</v>
      </c>
      <c r="F13" s="159" t="s">
        <v>159</v>
      </c>
      <c r="G13" s="159" t="s">
        <v>142</v>
      </c>
      <c r="H13" s="228" t="s">
        <v>195</v>
      </c>
    </row>
    <row r="14" spans="1:8" x14ac:dyDescent="0.25">
      <c r="E14" s="159" t="s">
        <v>163</v>
      </c>
      <c r="F14" s="159" t="s">
        <v>167</v>
      </c>
      <c r="G14" s="159" t="s">
        <v>168</v>
      </c>
      <c r="H14" s="228" t="s">
        <v>196</v>
      </c>
    </row>
    <row r="15" spans="1:8" x14ac:dyDescent="0.25">
      <c r="E15" s="31" t="s">
        <v>100</v>
      </c>
      <c r="F15" s="159" t="s">
        <v>127</v>
      </c>
      <c r="G15" s="159" t="s">
        <v>155</v>
      </c>
      <c r="H15" s="56" t="s">
        <v>192</v>
      </c>
    </row>
    <row r="16" spans="1:8" x14ac:dyDescent="0.25">
      <c r="E16" s="31" t="s">
        <v>101</v>
      </c>
      <c r="F16" s="159" t="s">
        <v>128</v>
      </c>
      <c r="G16" s="159" t="s">
        <v>156</v>
      </c>
      <c r="H16" s="56" t="s">
        <v>193</v>
      </c>
    </row>
    <row r="17" spans="5:8" x14ac:dyDescent="0.25">
      <c r="E17" s="31" t="s">
        <v>143</v>
      </c>
      <c r="F17" s="31" t="s">
        <v>158</v>
      </c>
      <c r="G17" s="159" t="s">
        <v>183</v>
      </c>
      <c r="H17" s="56" t="s">
        <v>197</v>
      </c>
    </row>
    <row r="18" spans="5:8" x14ac:dyDescent="0.25">
      <c r="E18" s="159" t="s">
        <v>162</v>
      </c>
      <c r="F18" s="159" t="s">
        <v>164</v>
      </c>
      <c r="G18" s="159" t="s">
        <v>169</v>
      </c>
      <c r="H18" s="228" t="s">
        <v>198</v>
      </c>
    </row>
    <row r="19" spans="5:8" x14ac:dyDescent="0.25">
      <c r="E19" s="159" t="s">
        <v>161</v>
      </c>
      <c r="F19" s="159" t="s">
        <v>165</v>
      </c>
      <c r="G19" s="159" t="s">
        <v>170</v>
      </c>
      <c r="H19" s="228" t="s">
        <v>199</v>
      </c>
    </row>
    <row r="20" spans="5:8" x14ac:dyDescent="0.25">
      <c r="G20" s="159"/>
      <c r="H20" s="227"/>
    </row>
    <row r="21" spans="5:8" x14ac:dyDescent="0.25">
      <c r="E21" s="159" t="s">
        <v>160</v>
      </c>
      <c r="F21" s="159" t="s">
        <v>166</v>
      </c>
      <c r="G21" s="159" t="s">
        <v>171</v>
      </c>
      <c r="H21" s="228" t="s">
        <v>200</v>
      </c>
    </row>
    <row r="22" spans="5:8" x14ac:dyDescent="0.25">
      <c r="E22" s="159" t="s">
        <v>7</v>
      </c>
      <c r="F22" s="159" t="s">
        <v>7</v>
      </c>
      <c r="G22" s="159" t="s">
        <v>7</v>
      </c>
      <c r="H22" s="227" t="s">
        <v>201</v>
      </c>
    </row>
    <row r="23" spans="5:8" x14ac:dyDescent="0.25">
      <c r="E23" s="159" t="s">
        <v>8</v>
      </c>
      <c r="F23" s="159" t="s">
        <v>20</v>
      </c>
      <c r="G23" s="159" t="s">
        <v>20</v>
      </c>
      <c r="H23" s="227" t="s">
        <v>202</v>
      </c>
    </row>
    <row r="24" spans="5:8" x14ac:dyDescent="0.25">
      <c r="E24" s="159" t="s">
        <v>78</v>
      </c>
      <c r="F24" s="159" t="s">
        <v>79</v>
      </c>
      <c r="G24" s="159" t="s">
        <v>79</v>
      </c>
      <c r="H24" s="227" t="s">
        <v>203</v>
      </c>
    </row>
    <row r="25" spans="5:8" x14ac:dyDescent="0.25">
      <c r="E25" s="159" t="s">
        <v>89</v>
      </c>
      <c r="F25" s="159" t="s">
        <v>129</v>
      </c>
      <c r="G25" s="162" t="s">
        <v>130</v>
      </c>
      <c r="H25" s="228" t="s">
        <v>204</v>
      </c>
    </row>
    <row r="26" spans="5:8" x14ac:dyDescent="0.25">
      <c r="E26" s="159" t="s">
        <v>47</v>
      </c>
      <c r="F26" s="159" t="s">
        <v>45</v>
      </c>
      <c r="G26" s="159" t="s">
        <v>23</v>
      </c>
      <c r="H26" s="227" t="s">
        <v>205</v>
      </c>
    </row>
    <row r="27" spans="5:8" x14ac:dyDescent="0.25">
      <c r="E27" s="159" t="s">
        <v>90</v>
      </c>
      <c r="F27" s="159" t="s">
        <v>131</v>
      </c>
      <c r="G27" s="159" t="s">
        <v>132</v>
      </c>
      <c r="H27" s="228" t="s">
        <v>206</v>
      </c>
    </row>
    <row r="28" spans="5:8" x14ac:dyDescent="0.25">
      <c r="E28" s="159" t="s">
        <v>48</v>
      </c>
      <c r="F28" s="159" t="s">
        <v>37</v>
      </c>
      <c r="G28" s="159" t="s">
        <v>24</v>
      </c>
      <c r="H28" s="227" t="s">
        <v>207</v>
      </c>
    </row>
    <row r="29" spans="5:8" x14ac:dyDescent="0.25">
      <c r="E29" s="159" t="s">
        <v>9</v>
      </c>
      <c r="F29" s="160" t="s">
        <v>21</v>
      </c>
      <c r="G29" s="160" t="s">
        <v>22</v>
      </c>
      <c r="H29" s="228" t="s">
        <v>205</v>
      </c>
    </row>
    <row r="30" spans="5:8" x14ac:dyDescent="0.25">
      <c r="E30" s="159" t="s">
        <v>40</v>
      </c>
      <c r="F30" s="159" t="s">
        <v>43</v>
      </c>
      <c r="G30" s="159" t="s">
        <v>44</v>
      </c>
      <c r="H30" s="227" t="s">
        <v>208</v>
      </c>
    </row>
    <row r="31" spans="5:8" x14ac:dyDescent="0.25">
      <c r="E31" s="159" t="s">
        <v>223</v>
      </c>
      <c r="F31" s="159" t="s">
        <v>224</v>
      </c>
      <c r="G31" s="163" t="s">
        <v>225</v>
      </c>
      <c r="H31" s="227" t="s">
        <v>226</v>
      </c>
    </row>
    <row r="32" spans="5:8" x14ac:dyDescent="0.25">
      <c r="E32" s="159" t="s">
        <v>25</v>
      </c>
      <c r="F32" s="159" t="s">
        <v>42</v>
      </c>
      <c r="G32" s="159" t="s">
        <v>26</v>
      </c>
      <c r="H32" s="227" t="s">
        <v>209</v>
      </c>
    </row>
    <row r="33" spans="5:8" ht="26.25" x14ac:dyDescent="0.25">
      <c r="E33" s="159" t="s">
        <v>1</v>
      </c>
      <c r="F33" s="159" t="s">
        <v>46</v>
      </c>
      <c r="G33" s="159" t="s">
        <v>27</v>
      </c>
      <c r="H33" s="227" t="s">
        <v>210</v>
      </c>
    </row>
    <row r="34" spans="5:8" ht="39" x14ac:dyDescent="0.25">
      <c r="E34" s="159" t="s">
        <v>2</v>
      </c>
      <c r="F34" s="159" t="s">
        <v>28</v>
      </c>
      <c r="G34" s="159" t="s">
        <v>29</v>
      </c>
      <c r="H34" s="227" t="s">
        <v>211</v>
      </c>
    </row>
    <row r="35" spans="5:8" ht="51.75" x14ac:dyDescent="0.25">
      <c r="E35" s="160" t="s">
        <v>3</v>
      </c>
      <c r="F35" s="159" t="s">
        <v>30</v>
      </c>
      <c r="G35" s="159" t="s">
        <v>31</v>
      </c>
      <c r="H35" s="227" t="s">
        <v>212</v>
      </c>
    </row>
    <row r="36" spans="5:8" x14ac:dyDescent="0.25">
      <c r="E36" s="159" t="s">
        <v>65</v>
      </c>
      <c r="F36" s="159" t="s">
        <v>41</v>
      </c>
      <c r="G36" s="163" t="s">
        <v>66</v>
      </c>
      <c r="H36" s="227" t="s">
        <v>213</v>
      </c>
    </row>
    <row r="37" spans="5:8" x14ac:dyDescent="0.25">
      <c r="E37" s="159" t="s">
        <v>4</v>
      </c>
      <c r="F37" s="159" t="s">
        <v>32</v>
      </c>
      <c r="G37" s="159" t="s">
        <v>32</v>
      </c>
      <c r="H37" s="227" t="s">
        <v>32</v>
      </c>
    </row>
    <row r="38" spans="5:8" x14ac:dyDescent="0.25">
      <c r="E38" s="159" t="s">
        <v>5</v>
      </c>
      <c r="F38" s="159" t="s">
        <v>5</v>
      </c>
      <c r="G38" s="159" t="s">
        <v>33</v>
      </c>
      <c r="H38" s="227" t="s">
        <v>214</v>
      </c>
    </row>
    <row r="39" spans="5:8" x14ac:dyDescent="0.25">
      <c r="E39" s="159" t="s">
        <v>34</v>
      </c>
      <c r="F39" s="159" t="s">
        <v>35</v>
      </c>
      <c r="G39" s="159" t="s">
        <v>36</v>
      </c>
      <c r="H39" s="227" t="s">
        <v>215</v>
      </c>
    </row>
    <row r="40" spans="5:8" x14ac:dyDescent="0.25">
      <c r="E40" s="159" t="s">
        <v>49</v>
      </c>
      <c r="F40" s="159" t="s">
        <v>50</v>
      </c>
      <c r="G40" s="163" t="s">
        <v>50</v>
      </c>
      <c r="H40" s="227" t="s">
        <v>49</v>
      </c>
    </row>
    <row r="41" spans="5:8" x14ac:dyDescent="0.25">
      <c r="G41" s="159"/>
      <c r="H41" s="227"/>
    </row>
    <row r="42" spans="5:8" x14ac:dyDescent="0.25">
      <c r="G42" s="159"/>
      <c r="H42" s="227"/>
    </row>
    <row r="43" spans="5:8" x14ac:dyDescent="0.25">
      <c r="G43" s="159"/>
      <c r="H43" s="227"/>
    </row>
    <row r="44" spans="5:8" x14ac:dyDescent="0.25">
      <c r="G44" s="159"/>
      <c r="H44" s="227"/>
    </row>
    <row r="45" spans="5:8" x14ac:dyDescent="0.25">
      <c r="G45" s="159"/>
      <c r="H45" s="227"/>
    </row>
    <row r="46" spans="5:8" x14ac:dyDescent="0.25">
      <c r="G46" s="159"/>
      <c r="H46" s="227"/>
    </row>
    <row r="47" spans="5:8" x14ac:dyDescent="0.25">
      <c r="E47" s="160"/>
      <c r="F47" s="160"/>
      <c r="G47" s="161"/>
      <c r="H47" s="229"/>
    </row>
    <row r="48" spans="5:8" x14ac:dyDescent="0.25">
      <c r="G48" s="159"/>
      <c r="H48" s="227"/>
    </row>
    <row r="49" spans="5:8" x14ac:dyDescent="0.25">
      <c r="E49" s="159" t="s">
        <v>63</v>
      </c>
      <c r="F49" s="159" t="s">
        <v>67</v>
      </c>
      <c r="G49" s="159" t="s">
        <v>68</v>
      </c>
      <c r="H49" s="227" t="s">
        <v>63</v>
      </c>
    </row>
    <row r="50" spans="5:8" x14ac:dyDescent="0.25">
      <c r="E50" s="159" t="s">
        <v>64</v>
      </c>
      <c r="F50" s="159" t="s">
        <v>69</v>
      </c>
      <c r="G50" s="159" t="s">
        <v>70</v>
      </c>
      <c r="H50" s="227" t="s">
        <v>64</v>
      </c>
    </row>
    <row r="51" spans="5:8" x14ac:dyDescent="0.25">
      <c r="E51" s="160"/>
      <c r="G51" s="159"/>
      <c r="H51" s="229"/>
    </row>
    <row r="52" spans="5:8" x14ac:dyDescent="0.25">
      <c r="G52" s="159"/>
      <c r="H52" s="227"/>
    </row>
    <row r="53" spans="5:8" x14ac:dyDescent="0.25">
      <c r="G53" s="159"/>
      <c r="H53" s="227"/>
    </row>
    <row r="54" spans="5:8" x14ac:dyDescent="0.25">
      <c r="E54" s="160"/>
      <c r="F54" s="160"/>
      <c r="G54" s="161"/>
      <c r="H54" s="229"/>
    </row>
    <row r="55" spans="5:8" x14ac:dyDescent="0.25">
      <c r="G55" s="159"/>
      <c r="H55" s="227"/>
    </row>
    <row r="56" spans="5:8" x14ac:dyDescent="0.25">
      <c r="E56" s="160" t="s">
        <v>110</v>
      </c>
      <c r="F56" s="160" t="s">
        <v>81</v>
      </c>
      <c r="G56" s="160" t="s">
        <v>82</v>
      </c>
      <c r="H56" s="229" t="s">
        <v>110</v>
      </c>
    </row>
    <row r="57" spans="5:8" x14ac:dyDescent="0.25">
      <c r="E57" s="160"/>
      <c r="F57" s="160"/>
      <c r="G57" s="161"/>
      <c r="H57" s="229"/>
    </row>
    <row r="58" spans="5:8" x14ac:dyDescent="0.25">
      <c r="E58" s="31" t="s">
        <v>133</v>
      </c>
      <c r="F58" s="159" t="s">
        <v>134</v>
      </c>
      <c r="G58" s="159" t="s">
        <v>135</v>
      </c>
      <c r="H58" s="56" t="s">
        <v>133</v>
      </c>
    </row>
    <row r="59" spans="5:8" x14ac:dyDescent="0.25">
      <c r="E59" s="159" t="s">
        <v>91</v>
      </c>
      <c r="F59" s="159" t="s">
        <v>136</v>
      </c>
      <c r="G59" s="159" t="s">
        <v>136</v>
      </c>
      <c r="H59" s="228" t="s">
        <v>91</v>
      </c>
    </row>
    <row r="60" spans="5:8" x14ac:dyDescent="0.25">
      <c r="E60" s="31" t="s">
        <v>10</v>
      </c>
      <c r="F60" s="160" t="s">
        <v>137</v>
      </c>
      <c r="G60" s="160" t="s">
        <v>138</v>
      </c>
      <c r="H60" s="61" t="s">
        <v>10</v>
      </c>
    </row>
    <row r="61" spans="5:8" x14ac:dyDescent="0.25">
      <c r="E61" s="31" t="s">
        <v>93</v>
      </c>
      <c r="F61" s="159" t="s">
        <v>139</v>
      </c>
      <c r="G61" s="163" t="s">
        <v>140</v>
      </c>
      <c r="H61" s="56" t="s">
        <v>93</v>
      </c>
    </row>
    <row r="62" spans="5:8" x14ac:dyDescent="0.25">
      <c r="E62" s="159" t="s">
        <v>94</v>
      </c>
      <c r="F62" s="159" t="s">
        <v>141</v>
      </c>
      <c r="G62" s="163" t="s">
        <v>184</v>
      </c>
      <c r="H62" s="227" t="s">
        <v>94</v>
      </c>
    </row>
    <row r="63" spans="5:8" x14ac:dyDescent="0.25">
      <c r="E63" s="159" t="s">
        <v>95</v>
      </c>
      <c r="H63" s="227" t="s">
        <v>95</v>
      </c>
    </row>
    <row r="64" spans="5:8" x14ac:dyDescent="0.25">
      <c r="E64" s="159" t="s">
        <v>96</v>
      </c>
      <c r="F64" s="160" t="s">
        <v>178</v>
      </c>
      <c r="G64" s="160" t="s">
        <v>178</v>
      </c>
      <c r="H64" s="227" t="s">
        <v>96</v>
      </c>
    </row>
    <row r="65" spans="5:8" x14ac:dyDescent="0.25">
      <c r="E65" s="159" t="s">
        <v>97</v>
      </c>
      <c r="F65" s="160" t="s">
        <v>179</v>
      </c>
      <c r="G65" s="164" t="s">
        <v>180</v>
      </c>
      <c r="H65" s="227" t="s">
        <v>97</v>
      </c>
    </row>
    <row r="66" spans="5:8" x14ac:dyDescent="0.25">
      <c r="E66" s="159" t="s">
        <v>98</v>
      </c>
      <c r="F66" s="160" t="s">
        <v>182</v>
      </c>
      <c r="G66" s="164" t="s">
        <v>181</v>
      </c>
      <c r="H66" s="227" t="s">
        <v>98</v>
      </c>
    </row>
    <row r="67" spans="5:8" ht="26.25" x14ac:dyDescent="0.25">
      <c r="E67" s="31" t="s">
        <v>172</v>
      </c>
      <c r="F67" s="159" t="s">
        <v>173</v>
      </c>
      <c r="G67" s="159" t="s">
        <v>176</v>
      </c>
      <c r="H67" s="56" t="s">
        <v>133</v>
      </c>
    </row>
    <row r="68" spans="5:8" x14ac:dyDescent="0.25">
      <c r="E68" s="31" t="s">
        <v>144</v>
      </c>
      <c r="F68" s="31" t="s">
        <v>145</v>
      </c>
      <c r="G68" s="31" t="s">
        <v>152</v>
      </c>
      <c r="H68" s="56" t="s">
        <v>144</v>
      </c>
    </row>
    <row r="69" spans="5:8" x14ac:dyDescent="0.25">
      <c r="E69" s="31" t="s">
        <v>149</v>
      </c>
      <c r="F69" s="31" t="s">
        <v>148</v>
      </c>
      <c r="G69" s="31" t="s">
        <v>151</v>
      </c>
      <c r="H69" s="56" t="s">
        <v>149</v>
      </c>
    </row>
    <row r="70" spans="5:8" x14ac:dyDescent="0.25">
      <c r="E70" s="31" t="s">
        <v>146</v>
      </c>
      <c r="F70" s="31" t="s">
        <v>147</v>
      </c>
      <c r="G70" s="31" t="s">
        <v>150</v>
      </c>
      <c r="H70" s="56" t="s">
        <v>146</v>
      </c>
    </row>
    <row r="71" spans="5:8" x14ac:dyDescent="0.25">
      <c r="E71" s="31" t="s">
        <v>102</v>
      </c>
      <c r="F71" s="159" t="s">
        <v>38</v>
      </c>
      <c r="G71" s="159" t="s">
        <v>39</v>
      </c>
      <c r="H71" s="56" t="s">
        <v>102</v>
      </c>
    </row>
    <row r="72" spans="5:8" x14ac:dyDescent="0.25">
      <c r="E72" s="159" t="s">
        <v>230</v>
      </c>
      <c r="F72" s="159" t="s">
        <v>231</v>
      </c>
      <c r="G72" s="159" t="s">
        <v>230</v>
      </c>
      <c r="H72" s="159" t="s">
        <v>230</v>
      </c>
    </row>
    <row r="73" spans="5:8" ht="26.25" x14ac:dyDescent="0.25">
      <c r="E73" s="159" t="s">
        <v>227</v>
      </c>
      <c r="F73" s="159" t="s">
        <v>222</v>
      </c>
      <c r="G73" s="159" t="s">
        <v>228</v>
      </c>
    </row>
    <row r="74" spans="5:8" x14ac:dyDescent="0.25">
      <c r="E74" s="160" t="s">
        <v>218</v>
      </c>
      <c r="F74" s="160" t="s">
        <v>219</v>
      </c>
      <c r="G74" s="160" t="s">
        <v>220</v>
      </c>
      <c r="H74" s="229" t="s">
        <v>218</v>
      </c>
    </row>
    <row r="75" spans="5:8" x14ac:dyDescent="0.25">
      <c r="E75" s="159" t="s">
        <v>216</v>
      </c>
      <c r="F75" s="159" t="s">
        <v>229</v>
      </c>
      <c r="G75" s="159" t="s">
        <v>221</v>
      </c>
      <c r="H75" s="159" t="s">
        <v>216</v>
      </c>
    </row>
    <row r="76" spans="5:8" x14ac:dyDescent="0.25">
      <c r="E76" s="159" t="s">
        <v>232</v>
      </c>
      <c r="F76" s="159" t="s">
        <v>233</v>
      </c>
      <c r="G76" s="159" t="s">
        <v>234</v>
      </c>
      <c r="H76" t="s">
        <v>235</v>
      </c>
    </row>
    <row r="77" spans="5:8" ht="30" x14ac:dyDescent="0.25">
      <c r="E77" s="159" t="s">
        <v>237</v>
      </c>
      <c r="F77" s="159" t="s">
        <v>238</v>
      </c>
      <c r="G77" s="159" t="s">
        <v>239</v>
      </c>
      <c r="H77" s="234" t="s">
        <v>240</v>
      </c>
    </row>
    <row r="78" spans="5:8" x14ac:dyDescent="0.25">
      <c r="E78" s="236" t="s">
        <v>243</v>
      </c>
      <c r="F78" s="236" t="s">
        <v>244</v>
      </c>
      <c r="G78" s="236" t="s">
        <v>245</v>
      </c>
      <c r="H78" s="237" t="s">
        <v>246</v>
      </c>
    </row>
    <row r="79" spans="5:8" x14ac:dyDescent="0.25">
      <c r="E79" s="159" t="s">
        <v>247</v>
      </c>
      <c r="F79" s="159" t="s">
        <v>248</v>
      </c>
      <c r="G79" s="159" t="s">
        <v>249</v>
      </c>
      <c r="H79" s="227" t="s">
        <v>250</v>
      </c>
    </row>
    <row r="80" spans="5:8" x14ac:dyDescent="0.25">
      <c r="E80" s="159" t="s">
        <v>251</v>
      </c>
      <c r="F80" s="159" t="s">
        <v>252</v>
      </c>
      <c r="G80" s="159" t="s">
        <v>253</v>
      </c>
      <c r="H80" s="227" t="s">
        <v>254</v>
      </c>
    </row>
    <row r="81" spans="5:8" x14ac:dyDescent="0.25">
      <c r="E81" s="159" t="s">
        <v>261</v>
      </c>
      <c r="F81" s="159" t="s">
        <v>262</v>
      </c>
      <c r="G81" s="234" t="s">
        <v>263</v>
      </c>
      <c r="H81" s="227"/>
    </row>
    <row r="82" spans="5:8" x14ac:dyDescent="0.25">
      <c r="E82" s="159" t="s">
        <v>257</v>
      </c>
      <c r="F82" s="159" t="s">
        <v>259</v>
      </c>
      <c r="G82" s="159" t="s">
        <v>258</v>
      </c>
      <c r="H82" s="234" t="s">
        <v>260</v>
      </c>
    </row>
    <row r="83" spans="5:8" ht="26.25" x14ac:dyDescent="0.25">
      <c r="E83" s="159" t="s">
        <v>265</v>
      </c>
      <c r="F83" s="159" t="s">
        <v>266</v>
      </c>
      <c r="G83" s="159" t="s">
        <v>267</v>
      </c>
      <c r="H83" s="159" t="s">
        <v>268</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Cortec</vt:lpstr>
      <vt:lpstr>Configurator</vt:lpstr>
      <vt:lpstr>Master Text</vt:lpstr>
      <vt:lpstr>Database</vt:lpstr>
      <vt:lpstr>Date Drivers</vt:lpstr>
      <vt:lpstr>Language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Stegmann Pineda</dc:creator>
  <cp:lastModifiedBy>Leon, Hector (GE Vernova)</cp:lastModifiedBy>
  <cp:lastPrinted>2021-03-09T21:35:05Z</cp:lastPrinted>
  <dcterms:created xsi:type="dcterms:W3CDTF">2012-11-20T14:50:48Z</dcterms:created>
  <dcterms:modified xsi:type="dcterms:W3CDTF">2024-02-12T15:40:50Z</dcterms:modified>
</cp:coreProperties>
</file>